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am Personal\KTC\2024\"/>
    </mc:Choice>
  </mc:AlternateContent>
  <xr:revisionPtr revIDLastSave="0" documentId="8_{825C9089-FDD6-445C-B84D-FA987E0EB86C}" xr6:coauthVersionLast="47" xr6:coauthVersionMax="47" xr10:uidLastSave="{00000000-0000-0000-0000-000000000000}"/>
  <workbookProtection workbookAlgorithmName="SHA-512" workbookHashValue="D3qc6yyWxy06531lfcMLbfVR2HEyEBZ+P3BSKfrnLptrh+kbGeS5xnKvakeuUGJl18xEUk2u6uf9z1SMar/tPg==" workbookSaltValue="prGzlgfav3NMyFF3Jt0iww==" workbookSpinCount="100000" lockStructure="1"/>
  <bookViews>
    <workbookView xWindow="-108" yWindow="-108" windowWidth="23256" windowHeight="12576" xr2:uid="{7E478777-A118-4518-A91B-6BD6A7D0138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9" i="1" l="1"/>
  <c r="T48" i="1"/>
  <c r="T11" i="1"/>
  <c r="T12" i="1"/>
  <c r="T13" i="1"/>
  <c r="T14" i="1"/>
  <c r="T15" i="1"/>
  <c r="S226" i="1"/>
  <c r="S99" i="1"/>
  <c r="V99" i="1" s="1"/>
  <c r="T99" i="1"/>
  <c r="S86" i="1"/>
  <c r="V86" i="1" s="1"/>
  <c r="T86" i="1"/>
  <c r="S98" i="1"/>
  <c r="V98" i="1" s="1"/>
  <c r="W98" i="1" s="1"/>
  <c r="T98" i="1"/>
  <c r="S97" i="1"/>
  <c r="T97" i="1"/>
  <c r="V97" i="1"/>
  <c r="S95" i="1"/>
  <c r="V95" i="1" s="1"/>
  <c r="W95" i="1" s="1"/>
  <c r="T95" i="1"/>
  <c r="S94" i="1"/>
  <c r="T94" i="1"/>
  <c r="V94" i="1"/>
  <c r="S84" i="1"/>
  <c r="V84" i="1" s="1"/>
  <c r="W84" i="1" s="1"/>
  <c r="T84" i="1"/>
  <c r="S44" i="1"/>
  <c r="V44" i="1" s="1"/>
  <c r="T44" i="1"/>
  <c r="V67" i="1"/>
  <c r="W94" i="1" l="1"/>
  <c r="W99" i="1"/>
  <c r="W97" i="1"/>
  <c r="W86" i="1"/>
  <c r="W44" i="1"/>
  <c r="S67" i="1"/>
  <c r="W67" i="1" s="1"/>
  <c r="T67" i="1"/>
  <c r="S233" i="1"/>
  <c r="T233" i="1"/>
  <c r="T16" i="1"/>
  <c r="S161" i="1"/>
  <c r="T161" i="1"/>
  <c r="S164" i="1"/>
  <c r="T164" i="1"/>
  <c r="S175" i="1"/>
  <c r="T175" i="1"/>
  <c r="S166" i="1"/>
  <c r="T166" i="1"/>
  <c r="S182" i="1"/>
  <c r="T182" i="1"/>
  <c r="S165" i="1"/>
  <c r="T165" i="1"/>
  <c r="S163" i="1"/>
  <c r="T163" i="1"/>
  <c r="S176" i="1"/>
  <c r="T176" i="1"/>
  <c r="S179" i="1"/>
  <c r="T179" i="1"/>
  <c r="S180" i="1"/>
  <c r="T180" i="1"/>
  <c r="S174" i="1"/>
  <c r="T174" i="1"/>
  <c r="S167" i="1"/>
  <c r="T167" i="1"/>
  <c r="S168" i="1"/>
  <c r="T168" i="1"/>
  <c r="S170" i="1"/>
  <c r="T170" i="1"/>
  <c r="S181" i="1"/>
  <c r="T181" i="1"/>
  <c r="S162" i="1"/>
  <c r="T162" i="1"/>
  <c r="S177" i="1"/>
  <c r="T177" i="1"/>
  <c r="S171" i="1"/>
  <c r="T171" i="1"/>
  <c r="S169" i="1"/>
  <c r="T169" i="1"/>
  <c r="S178" i="1"/>
  <c r="T178" i="1"/>
  <c r="S173" i="1"/>
  <c r="T173" i="1"/>
  <c r="S184" i="1"/>
  <c r="T184" i="1"/>
  <c r="S185" i="1"/>
  <c r="T185" i="1"/>
  <c r="S186" i="1"/>
  <c r="T186" i="1"/>
  <c r="S172" i="1"/>
  <c r="T172" i="1"/>
  <c r="S183" i="1"/>
  <c r="T183" i="1"/>
  <c r="S300" i="1"/>
  <c r="S301" i="1"/>
  <c r="S302" i="1"/>
  <c r="S143" i="1"/>
  <c r="V143" i="1" s="1"/>
  <c r="T143" i="1"/>
  <c r="S57" i="1"/>
  <c r="V57" i="1" s="1"/>
  <c r="T57" i="1"/>
  <c r="T33" i="1"/>
  <c r="T31" i="1"/>
  <c r="T35" i="1"/>
  <c r="T30" i="1"/>
  <c r="T36" i="1"/>
  <c r="T40" i="1"/>
  <c r="T41" i="1"/>
  <c r="T43" i="1"/>
  <c r="T32" i="1"/>
  <c r="T34" i="1"/>
  <c r="T37" i="1"/>
  <c r="T38" i="1"/>
  <c r="T39" i="1"/>
  <c r="T42" i="1"/>
  <c r="S274" i="1"/>
  <c r="U274" i="1" s="1"/>
  <c r="T274" i="1"/>
  <c r="S273" i="1"/>
  <c r="U273" i="1" s="1"/>
  <c r="T273" i="1"/>
  <c r="S269" i="1"/>
  <c r="U269" i="1" s="1"/>
  <c r="T269" i="1"/>
  <c r="S266" i="1"/>
  <c r="U266" i="1" s="1"/>
  <c r="T266" i="1"/>
  <c r="S203" i="1"/>
  <c r="V203" i="1" s="1"/>
  <c r="T203" i="1"/>
  <c r="S201" i="1"/>
  <c r="V201" i="1" s="1"/>
  <c r="T201" i="1"/>
  <c r="S147" i="1"/>
  <c r="V147" i="1" s="1"/>
  <c r="T147" i="1"/>
  <c r="S154" i="1"/>
  <c r="V154" i="1" s="1"/>
  <c r="T154" i="1"/>
  <c r="S153" i="1"/>
  <c r="V153" i="1" s="1"/>
  <c r="T153" i="1"/>
  <c r="V22" i="1"/>
  <c r="S215" i="1"/>
  <c r="U215" i="1" s="1"/>
  <c r="T215" i="1"/>
  <c r="S263" i="1"/>
  <c r="U263" i="1" s="1"/>
  <c r="T263" i="1"/>
  <c r="S145" i="1"/>
  <c r="V145" i="1" s="1"/>
  <c r="T145" i="1"/>
  <c r="S139" i="1"/>
  <c r="V139" i="1" s="1"/>
  <c r="T139" i="1"/>
  <c r="V70" i="1"/>
  <c r="S70" i="1"/>
  <c r="T70" i="1"/>
  <c r="V66" i="1"/>
  <c r="S66" i="1"/>
  <c r="T66" i="1"/>
  <c r="S272" i="1"/>
  <c r="U272" i="1" s="1"/>
  <c r="T272" i="1"/>
  <c r="S271" i="1"/>
  <c r="U271" i="1" s="1"/>
  <c r="T271" i="1"/>
  <c r="S250" i="1"/>
  <c r="T250" i="1"/>
  <c r="S270" i="1"/>
  <c r="U270" i="1" s="1"/>
  <c r="T270" i="1"/>
  <c r="S257" i="1"/>
  <c r="U257" i="1" s="1"/>
  <c r="T257" i="1"/>
  <c r="S259" i="1"/>
  <c r="U259" i="1" s="1"/>
  <c r="T259" i="1"/>
  <c r="S199" i="1"/>
  <c r="V199" i="1" s="1"/>
  <c r="T199" i="1"/>
  <c r="S61" i="1"/>
  <c r="V61" i="1" s="1"/>
  <c r="T61" i="1"/>
  <c r="S265" i="1"/>
  <c r="U265" i="1" s="1"/>
  <c r="T265" i="1"/>
  <c r="S261" i="1"/>
  <c r="U261" i="1" s="1"/>
  <c r="T261" i="1"/>
  <c r="S256" i="1"/>
  <c r="U256" i="1" s="1"/>
  <c r="T256" i="1"/>
  <c r="S31" i="1"/>
  <c r="S35" i="1"/>
  <c r="S36" i="1"/>
  <c r="S33" i="1"/>
  <c r="S30" i="1"/>
  <c r="S40" i="1"/>
  <c r="S41" i="1"/>
  <c r="S43" i="1"/>
  <c r="S32" i="1"/>
  <c r="S34" i="1"/>
  <c r="S37" i="1"/>
  <c r="S38" i="1"/>
  <c r="S39" i="1"/>
  <c r="S42" i="1"/>
  <c r="T300" i="1"/>
  <c r="T301" i="1"/>
  <c r="T302" i="1"/>
  <c r="V300" i="1"/>
  <c r="V301" i="1"/>
  <c r="V302" i="1"/>
  <c r="S278" i="1"/>
  <c r="W278" i="1" s="1"/>
  <c r="T278" i="1"/>
  <c r="V278" i="1"/>
  <c r="S280" i="1"/>
  <c r="T280" i="1"/>
  <c r="V280" i="1"/>
  <c r="S281" i="1"/>
  <c r="T281" i="1"/>
  <c r="V281" i="1"/>
  <c r="S290" i="1"/>
  <c r="T290" i="1"/>
  <c r="V290" i="1"/>
  <c r="S284" i="1"/>
  <c r="T284" i="1"/>
  <c r="V284" i="1"/>
  <c r="S287" i="1"/>
  <c r="T287" i="1"/>
  <c r="V287" i="1"/>
  <c r="S279" i="1"/>
  <c r="T279" i="1"/>
  <c r="V279" i="1"/>
  <c r="S289" i="1"/>
  <c r="T289" i="1"/>
  <c r="V289" i="1"/>
  <c r="S288" i="1"/>
  <c r="T288" i="1"/>
  <c r="V288" i="1"/>
  <c r="S282" i="1"/>
  <c r="T282" i="1"/>
  <c r="V282" i="1"/>
  <c r="S283" i="1"/>
  <c r="T283" i="1"/>
  <c r="V283" i="1"/>
  <c r="S291" i="1"/>
  <c r="T291" i="1"/>
  <c r="V291" i="1"/>
  <c r="S292" i="1"/>
  <c r="T292" i="1"/>
  <c r="V292" i="1"/>
  <c r="S293" i="1"/>
  <c r="T293" i="1"/>
  <c r="V293" i="1"/>
  <c r="S285" i="1"/>
  <c r="T285" i="1"/>
  <c r="V285" i="1"/>
  <c r="S286" i="1"/>
  <c r="T286" i="1"/>
  <c r="V286" i="1"/>
  <c r="S294" i="1"/>
  <c r="T294" i="1"/>
  <c r="V294" i="1"/>
  <c r="S295" i="1"/>
  <c r="T295" i="1"/>
  <c r="V295" i="1"/>
  <c r="S296" i="1"/>
  <c r="T296" i="1"/>
  <c r="V296" i="1"/>
  <c r="S194" i="1"/>
  <c r="V171" i="1"/>
  <c r="S52" i="1"/>
  <c r="V52" i="1" s="1"/>
  <c r="T52" i="1"/>
  <c r="S22" i="1"/>
  <c r="T22" i="1"/>
  <c r="S195" i="1"/>
  <c r="S202" i="1"/>
  <c r="S267" i="1"/>
  <c r="U267" i="1" s="1"/>
  <c r="T267" i="1"/>
  <c r="S248" i="1"/>
  <c r="U248" i="1" s="1"/>
  <c r="T248" i="1"/>
  <c r="T219" i="1"/>
  <c r="T220" i="1"/>
  <c r="T221" i="1"/>
  <c r="T222" i="1"/>
  <c r="S219" i="1"/>
  <c r="U219" i="1" s="1"/>
  <c r="S220" i="1"/>
  <c r="S221" i="1"/>
  <c r="S222" i="1"/>
  <c r="V169" i="1"/>
  <c r="V177" i="1"/>
  <c r="V167" i="1"/>
  <c r="V172" i="1"/>
  <c r="V176" i="1"/>
  <c r="S79" i="1"/>
  <c r="S90" i="1"/>
  <c r="S91" i="1"/>
  <c r="S85" i="1"/>
  <c r="S93" i="1"/>
  <c r="S96" i="1"/>
  <c r="S88" i="1"/>
  <c r="T88" i="1"/>
  <c r="V88" i="1"/>
  <c r="S83" i="1"/>
  <c r="V83" i="1" s="1"/>
  <c r="T83" i="1"/>
  <c r="T91" i="1"/>
  <c r="V91" i="1"/>
  <c r="V85" i="1"/>
  <c r="T85" i="1"/>
  <c r="T93" i="1"/>
  <c r="V93" i="1"/>
  <c r="S146" i="1"/>
  <c r="V146" i="1" s="1"/>
  <c r="T146" i="1"/>
  <c r="S148" i="1"/>
  <c r="V148" i="1" s="1"/>
  <c r="T148" i="1"/>
  <c r="S65" i="1"/>
  <c r="V65" i="1" s="1"/>
  <c r="T65" i="1"/>
  <c r="S58" i="1"/>
  <c r="V58" i="1" s="1"/>
  <c r="T58" i="1"/>
  <c r="V39" i="1"/>
  <c r="V38" i="1"/>
  <c r="V34" i="1"/>
  <c r="S26" i="1"/>
  <c r="T26" i="1"/>
  <c r="V26" i="1"/>
  <c r="S18" i="1"/>
  <c r="T18" i="1"/>
  <c r="V18" i="1"/>
  <c r="S15" i="1"/>
  <c r="V15" i="1"/>
  <c r="S137" i="1"/>
  <c r="W137" i="1" s="1"/>
  <c r="T137" i="1"/>
  <c r="V137" i="1"/>
  <c r="S130" i="1"/>
  <c r="T130" i="1"/>
  <c r="V130" i="1"/>
  <c r="S150" i="1"/>
  <c r="T150" i="1"/>
  <c r="V150" i="1"/>
  <c r="S128" i="1"/>
  <c r="T128" i="1"/>
  <c r="V128" i="1"/>
  <c r="S129" i="1"/>
  <c r="T129" i="1"/>
  <c r="V129" i="1"/>
  <c r="S127" i="1"/>
  <c r="T127" i="1"/>
  <c r="V127" i="1"/>
  <c r="S149" i="1"/>
  <c r="T149" i="1"/>
  <c r="V149" i="1"/>
  <c r="S155" i="1"/>
  <c r="T155" i="1"/>
  <c r="V155" i="1"/>
  <c r="S144" i="1"/>
  <c r="T144" i="1"/>
  <c r="V144" i="1"/>
  <c r="S131" i="1"/>
  <c r="T131" i="1"/>
  <c r="V131" i="1"/>
  <c r="S132" i="1"/>
  <c r="T132" i="1"/>
  <c r="V132" i="1"/>
  <c r="S135" i="1"/>
  <c r="T135" i="1"/>
  <c r="V135" i="1"/>
  <c r="S134" i="1"/>
  <c r="V134" i="1" s="1"/>
  <c r="T134" i="1"/>
  <c r="S141" i="1"/>
  <c r="V141" i="1" s="1"/>
  <c r="T141" i="1"/>
  <c r="S138" i="1"/>
  <c r="T138" i="1"/>
  <c r="V138" i="1"/>
  <c r="S140" i="1"/>
  <c r="T140" i="1"/>
  <c r="V140" i="1"/>
  <c r="S133" i="1"/>
  <c r="T133" i="1"/>
  <c r="V133" i="1"/>
  <c r="S136" i="1"/>
  <c r="T136" i="1"/>
  <c r="V136" i="1"/>
  <c r="S152" i="1"/>
  <c r="T152" i="1"/>
  <c r="V152" i="1"/>
  <c r="S156" i="1"/>
  <c r="T156" i="1"/>
  <c r="V156" i="1"/>
  <c r="S142" i="1"/>
  <c r="T142" i="1"/>
  <c r="V142" i="1"/>
  <c r="S157" i="1"/>
  <c r="T157" i="1"/>
  <c r="V157" i="1"/>
  <c r="S151" i="1"/>
  <c r="T151" i="1"/>
  <c r="V151" i="1"/>
  <c r="S24" i="1"/>
  <c r="S25" i="1"/>
  <c r="S11" i="1"/>
  <c r="S21" i="1"/>
  <c r="S20" i="1"/>
  <c r="S16" i="1"/>
  <c r="S17" i="1"/>
  <c r="S14" i="1"/>
  <c r="S23" i="1"/>
  <c r="S13" i="1"/>
  <c r="S12" i="1"/>
  <c r="S19" i="1"/>
  <c r="S60" i="1"/>
  <c r="T60" i="1"/>
  <c r="V60" i="1"/>
  <c r="V43" i="1"/>
  <c r="V32" i="1"/>
  <c r="T25" i="1"/>
  <c r="V25" i="1"/>
  <c r="V11" i="1"/>
  <c r="T20" i="1"/>
  <c r="V20" i="1"/>
  <c r="T19" i="1"/>
  <c r="T21" i="1"/>
  <c r="T23" i="1"/>
  <c r="T24" i="1"/>
  <c r="T17" i="1"/>
  <c r="V37" i="1"/>
  <c r="S207" i="1"/>
  <c r="S240" i="1"/>
  <c r="U240" i="1" s="1"/>
  <c r="T240" i="1"/>
  <c r="V14" i="1"/>
  <c r="S206" i="1"/>
  <c r="S200" i="1"/>
  <c r="S204" i="1"/>
  <c r="S192" i="1"/>
  <c r="S244" i="1"/>
  <c r="U244" i="1" s="1"/>
  <c r="T244" i="1"/>
  <c r="S264" i="1"/>
  <c r="U264" i="1" s="1"/>
  <c r="S262" i="1"/>
  <c r="U262" i="1" s="1"/>
  <c r="T264" i="1"/>
  <c r="T262" i="1"/>
  <c r="T242" i="1"/>
  <c r="T241" i="1"/>
  <c r="T253" i="1"/>
  <c r="T249" i="1"/>
  <c r="T238" i="1"/>
  <c r="T247" i="1"/>
  <c r="T251" i="1"/>
  <c r="T252" i="1"/>
  <c r="T243" i="1"/>
  <c r="T239" i="1"/>
  <c r="T246" i="1"/>
  <c r="S249" i="1"/>
  <c r="U249" i="1" s="1"/>
  <c r="S238" i="1"/>
  <c r="U238" i="1" s="1"/>
  <c r="S247" i="1"/>
  <c r="U247" i="1" s="1"/>
  <c r="S251" i="1"/>
  <c r="U251" i="1" s="1"/>
  <c r="S252" i="1"/>
  <c r="U252" i="1" s="1"/>
  <c r="S243" i="1"/>
  <c r="U243" i="1" s="1"/>
  <c r="S239" i="1"/>
  <c r="U239" i="1" s="1"/>
  <c r="S246" i="1"/>
  <c r="U246" i="1" s="1"/>
  <c r="S253" i="1"/>
  <c r="U253" i="1" s="1"/>
  <c r="S92" i="1"/>
  <c r="S82" i="1"/>
  <c r="S81" i="1"/>
  <c r="U226" i="1"/>
  <c r="U227" i="1"/>
  <c r="U228" i="1"/>
  <c r="U229" i="1"/>
  <c r="S214" i="1"/>
  <c r="U214" i="1" s="1"/>
  <c r="T258" i="1"/>
  <c r="T260" i="1"/>
  <c r="T268" i="1"/>
  <c r="S268" i="1"/>
  <c r="U268" i="1" s="1"/>
  <c r="S260" i="1"/>
  <c r="U260" i="1" s="1"/>
  <c r="S258" i="1"/>
  <c r="U258" i="1" s="1"/>
  <c r="S241" i="1"/>
  <c r="U241" i="1" s="1"/>
  <c r="T245" i="1"/>
  <c r="S245" i="1"/>
  <c r="U245" i="1" s="1"/>
  <c r="S242" i="1"/>
  <c r="U242" i="1" s="1"/>
  <c r="T234" i="1"/>
  <c r="S234" i="1"/>
  <c r="T229" i="1"/>
  <c r="T228" i="1"/>
  <c r="T227" i="1"/>
  <c r="T226" i="1"/>
  <c r="T216" i="1"/>
  <c r="S216" i="1"/>
  <c r="U216" i="1" s="1"/>
  <c r="T212" i="1"/>
  <c r="S212" i="1"/>
  <c r="U212" i="1" s="1"/>
  <c r="T214" i="1"/>
  <c r="T213" i="1"/>
  <c r="S213" i="1"/>
  <c r="U213" i="1" s="1"/>
  <c r="V194" i="1"/>
  <c r="T194" i="1"/>
  <c r="V202" i="1"/>
  <c r="T202" i="1"/>
  <c r="V195" i="1"/>
  <c r="T195" i="1"/>
  <c r="V207" i="1"/>
  <c r="T207" i="1"/>
  <c r="V192" i="1"/>
  <c r="T192" i="1"/>
  <c r="V204" i="1"/>
  <c r="T204" i="1"/>
  <c r="V200" i="1"/>
  <c r="T200" i="1"/>
  <c r="V206" i="1"/>
  <c r="T206" i="1"/>
  <c r="V205" i="1"/>
  <c r="T205" i="1"/>
  <c r="S205" i="1"/>
  <c r="V198" i="1"/>
  <c r="T198" i="1"/>
  <c r="S198" i="1"/>
  <c r="V191" i="1"/>
  <c r="T191" i="1"/>
  <c r="S191" i="1"/>
  <c r="V193" i="1"/>
  <c r="T193" i="1"/>
  <c r="S193" i="1"/>
  <c r="V196" i="1"/>
  <c r="T196" i="1"/>
  <c r="S196" i="1"/>
  <c r="V197" i="1"/>
  <c r="T197" i="1"/>
  <c r="S197" i="1"/>
  <c r="V183" i="1"/>
  <c r="V162" i="1"/>
  <c r="V185" i="1"/>
  <c r="V168" i="1"/>
  <c r="V184" i="1"/>
  <c r="V187" i="1"/>
  <c r="T187" i="1"/>
  <c r="S187" i="1"/>
  <c r="V173" i="1"/>
  <c r="V182" i="1"/>
  <c r="V166" i="1"/>
  <c r="V174" i="1"/>
  <c r="V164" i="1"/>
  <c r="V170" i="1"/>
  <c r="V161" i="1"/>
  <c r="V186" i="1"/>
  <c r="V180" i="1"/>
  <c r="V175" i="1"/>
  <c r="V165" i="1"/>
  <c r="V179" i="1"/>
  <c r="V178" i="1"/>
  <c r="V181" i="1"/>
  <c r="V163" i="1"/>
  <c r="V123" i="1"/>
  <c r="T123" i="1"/>
  <c r="S123" i="1"/>
  <c r="V112" i="1"/>
  <c r="T112" i="1"/>
  <c r="S112" i="1"/>
  <c r="V106" i="1"/>
  <c r="T106" i="1"/>
  <c r="S106" i="1"/>
  <c r="V111" i="1"/>
  <c r="T111" i="1"/>
  <c r="S111" i="1"/>
  <c r="V115" i="1"/>
  <c r="T115" i="1"/>
  <c r="S115" i="1"/>
  <c r="V120" i="1"/>
  <c r="T120" i="1"/>
  <c r="S120" i="1"/>
  <c r="V118" i="1"/>
  <c r="T118" i="1"/>
  <c r="S118" i="1"/>
  <c r="V122" i="1"/>
  <c r="T122" i="1"/>
  <c r="S122" i="1"/>
  <c r="V116" i="1"/>
  <c r="T116" i="1"/>
  <c r="S116" i="1"/>
  <c r="V114" i="1"/>
  <c r="T114" i="1"/>
  <c r="S114" i="1"/>
  <c r="V119" i="1"/>
  <c r="T119" i="1"/>
  <c r="S119" i="1"/>
  <c r="V104" i="1"/>
  <c r="T104" i="1"/>
  <c r="S104" i="1"/>
  <c r="V109" i="1"/>
  <c r="T109" i="1"/>
  <c r="S109" i="1"/>
  <c r="V110" i="1"/>
  <c r="T110" i="1"/>
  <c r="S110" i="1"/>
  <c r="V108" i="1"/>
  <c r="T108" i="1"/>
  <c r="S108" i="1"/>
  <c r="V113" i="1"/>
  <c r="T113" i="1"/>
  <c r="S113" i="1"/>
  <c r="V117" i="1"/>
  <c r="T117" i="1"/>
  <c r="S117" i="1"/>
  <c r="V121" i="1"/>
  <c r="T121" i="1"/>
  <c r="S121" i="1"/>
  <c r="V105" i="1"/>
  <c r="T105" i="1"/>
  <c r="S105" i="1"/>
  <c r="V103" i="1"/>
  <c r="T103" i="1"/>
  <c r="S103" i="1"/>
  <c r="V107" i="1"/>
  <c r="T107" i="1"/>
  <c r="S107" i="1"/>
  <c r="V96" i="1"/>
  <c r="T96" i="1"/>
  <c r="V90" i="1"/>
  <c r="T90" i="1"/>
  <c r="V79" i="1"/>
  <c r="T79" i="1"/>
  <c r="V92" i="1"/>
  <c r="T92" i="1"/>
  <c r="V82" i="1"/>
  <c r="T82" i="1"/>
  <c r="V81" i="1"/>
  <c r="T81" i="1"/>
  <c r="V80" i="1"/>
  <c r="T80" i="1"/>
  <c r="S80" i="1"/>
  <c r="V87" i="1"/>
  <c r="T87" i="1"/>
  <c r="S87" i="1"/>
  <c r="V89" i="1"/>
  <c r="T89" i="1"/>
  <c r="S89" i="1"/>
  <c r="V75" i="1"/>
  <c r="T75" i="1"/>
  <c r="S75" i="1"/>
  <c r="V59" i="1"/>
  <c r="T59" i="1"/>
  <c r="S59" i="1"/>
  <c r="V49" i="1"/>
  <c r="S49" i="1"/>
  <c r="V74" i="1"/>
  <c r="T74" i="1"/>
  <c r="S74" i="1"/>
  <c r="V56" i="1"/>
  <c r="T56" i="1"/>
  <c r="S56" i="1"/>
  <c r="V54" i="1"/>
  <c r="T54" i="1"/>
  <c r="S54" i="1"/>
  <c r="V51" i="1"/>
  <c r="T51" i="1"/>
  <c r="S51" i="1"/>
  <c r="W51" i="1" s="1"/>
  <c r="V69" i="1"/>
  <c r="T69" i="1"/>
  <c r="S69" i="1"/>
  <c r="V55" i="1"/>
  <c r="T55" i="1"/>
  <c r="S55" i="1"/>
  <c r="V53" i="1"/>
  <c r="T53" i="1"/>
  <c r="S53" i="1"/>
  <c r="V73" i="1"/>
  <c r="T73" i="1"/>
  <c r="S73" i="1"/>
  <c r="V62" i="1"/>
  <c r="T62" i="1"/>
  <c r="S62" i="1"/>
  <c r="V72" i="1"/>
  <c r="T72" i="1"/>
  <c r="S72" i="1"/>
  <c r="V68" i="1"/>
  <c r="T68" i="1"/>
  <c r="S68" i="1"/>
  <c r="V71" i="1"/>
  <c r="T71" i="1"/>
  <c r="S71" i="1"/>
  <c r="V63" i="1"/>
  <c r="T63" i="1"/>
  <c r="S63" i="1"/>
  <c r="V48" i="1"/>
  <c r="S48" i="1"/>
  <c r="V64" i="1"/>
  <c r="T64" i="1"/>
  <c r="S64" i="1"/>
  <c r="V50" i="1"/>
  <c r="T50" i="1"/>
  <c r="S50" i="1"/>
  <c r="V42" i="1"/>
  <c r="V33" i="1"/>
  <c r="V35" i="1"/>
  <c r="V30" i="1"/>
  <c r="V41" i="1"/>
  <c r="V40" i="1"/>
  <c r="V36" i="1"/>
  <c r="V31" i="1"/>
  <c r="V12" i="1"/>
  <c r="V17" i="1"/>
  <c r="V13" i="1"/>
  <c r="V24" i="1"/>
  <c r="V23" i="1"/>
  <c r="V21" i="1"/>
  <c r="V19" i="1"/>
  <c r="V16" i="1"/>
  <c r="W279" i="1" l="1"/>
  <c r="W80" i="1"/>
  <c r="W12" i="1"/>
  <c r="W22" i="1"/>
  <c r="W79" i="1"/>
  <c r="W30" i="1"/>
  <c r="W11" i="1"/>
  <c r="W13" i="1"/>
  <c r="W72" i="1"/>
  <c r="W20" i="1"/>
  <c r="W73" i="1"/>
  <c r="W16" i="1"/>
  <c r="W18" i="1"/>
  <c r="W19" i="1"/>
  <c r="W21" i="1"/>
  <c r="W26" i="1"/>
  <c r="W25" i="1"/>
  <c r="W23" i="1"/>
  <c r="W24" i="1"/>
  <c r="W15" i="1"/>
  <c r="W14" i="1"/>
  <c r="W17" i="1"/>
  <c r="W196" i="1"/>
  <c r="W48" i="1"/>
  <c r="W55" i="1"/>
  <c r="W295" i="1"/>
  <c r="W296" i="1"/>
  <c r="W282" i="1"/>
  <c r="W280" i="1"/>
  <c r="W287" i="1"/>
  <c r="W301" i="1"/>
  <c r="W107" i="1"/>
  <c r="W292" i="1"/>
  <c r="W302" i="1"/>
  <c r="W294" i="1"/>
  <c r="W50" i="1"/>
  <c r="W284" i="1"/>
  <c r="W205" i="1"/>
  <c r="W74" i="1"/>
  <c r="W286" i="1"/>
  <c r="W289" i="1"/>
  <c r="W93" i="1"/>
  <c r="W60" i="1"/>
  <c r="W157" i="1"/>
  <c r="W285" i="1"/>
  <c r="W204" i="1"/>
  <c r="W195" i="1"/>
  <c r="W194" i="1"/>
  <c r="W120" i="1"/>
  <c r="W288" i="1"/>
  <c r="W206" i="1"/>
  <c r="W105" i="1"/>
  <c r="W193" i="1"/>
  <c r="W283" i="1"/>
  <c r="W300" i="1"/>
  <c r="W121" i="1"/>
  <c r="W119" i="1"/>
  <c r="W115" i="1"/>
  <c r="W104" i="1"/>
  <c r="W181" i="1"/>
  <c r="W161" i="1"/>
  <c r="W182" i="1"/>
  <c r="W183" i="1"/>
  <c r="W178" i="1"/>
  <c r="W173" i="1"/>
  <c r="U250" i="1"/>
  <c r="W198" i="1"/>
  <c r="W192" i="1"/>
  <c r="W207" i="1"/>
  <c r="W200" i="1"/>
  <c r="W203" i="1"/>
  <c r="W197" i="1"/>
  <c r="W199" i="1"/>
  <c r="W191" i="1"/>
  <c r="W202" i="1"/>
  <c r="W201" i="1"/>
  <c r="W291" i="1"/>
  <c r="W290" i="1"/>
  <c r="W293" i="1"/>
  <c r="W281" i="1"/>
  <c r="W88" i="1"/>
  <c r="W68" i="1"/>
  <c r="W54" i="1"/>
  <c r="W110" i="1"/>
  <c r="W118" i="1"/>
  <c r="W142" i="1"/>
  <c r="W138" i="1"/>
  <c r="W128" i="1"/>
  <c r="W163" i="1"/>
  <c r="W186" i="1"/>
  <c r="W166" i="1"/>
  <c r="W162" i="1"/>
  <c r="W131" i="1"/>
  <c r="W64" i="1"/>
  <c r="W53" i="1"/>
  <c r="W49" i="1"/>
  <c r="W117" i="1"/>
  <c r="W114" i="1"/>
  <c r="W111" i="1"/>
  <c r="W179" i="1"/>
  <c r="W164" i="1"/>
  <c r="W136" i="1"/>
  <c r="W155" i="1"/>
  <c r="W71" i="1"/>
  <c r="W75" i="1"/>
  <c r="W108" i="1"/>
  <c r="W122" i="1"/>
  <c r="W123" i="1"/>
  <c r="W180" i="1"/>
  <c r="W168" i="1"/>
  <c r="W132" i="1"/>
  <c r="W129" i="1"/>
  <c r="W66" i="1"/>
  <c r="W70" i="1"/>
  <c r="W165" i="1"/>
  <c r="W174" i="1"/>
  <c r="W187" i="1"/>
  <c r="W185" i="1"/>
  <c r="W170" i="1"/>
  <c r="W175" i="1"/>
  <c r="W184" i="1"/>
  <c r="W167" i="1"/>
  <c r="W172" i="1"/>
  <c r="W176" i="1"/>
  <c r="W169" i="1"/>
  <c r="W171" i="1"/>
  <c r="W177" i="1"/>
  <c r="W130" i="1"/>
  <c r="W133" i="1"/>
  <c r="W149" i="1"/>
  <c r="W147" i="1"/>
  <c r="W144" i="1"/>
  <c r="W145" i="1"/>
  <c r="W146" i="1"/>
  <c r="W152" i="1"/>
  <c r="W151" i="1"/>
  <c r="W140" i="1"/>
  <c r="W127" i="1"/>
  <c r="W156" i="1"/>
  <c r="W135" i="1"/>
  <c r="W150" i="1"/>
  <c r="W139" i="1"/>
  <c r="W143" i="1"/>
  <c r="W154" i="1"/>
  <c r="W134" i="1"/>
  <c r="W141" i="1"/>
  <c r="W153" i="1"/>
  <c r="W148" i="1"/>
  <c r="W63" i="1"/>
  <c r="W69" i="1"/>
  <c r="W89" i="1"/>
  <c r="W96" i="1"/>
  <c r="W85" i="1"/>
  <c r="W91" i="1"/>
  <c r="W113" i="1"/>
  <c r="W106" i="1"/>
  <c r="W90" i="1"/>
  <c r="W116" i="1"/>
  <c r="W112" i="1"/>
  <c r="W103" i="1"/>
  <c r="W109" i="1"/>
  <c r="W83" i="1"/>
  <c r="W87" i="1"/>
  <c r="W81" i="1"/>
  <c r="W82" i="1"/>
  <c r="W92" i="1"/>
  <c r="W65" i="1"/>
  <c r="W62" i="1"/>
  <c r="W56" i="1"/>
  <c r="W59" i="1"/>
  <c r="W57" i="1"/>
  <c r="W58" i="1"/>
  <c r="W52" i="1"/>
  <c r="W61" i="1"/>
  <c r="W39" i="1"/>
  <c r="W37" i="1"/>
  <c r="W36" i="1"/>
  <c r="W34" i="1"/>
  <c r="W32" i="1"/>
  <c r="W43" i="1"/>
  <c r="W35" i="1"/>
  <c r="W31" i="1"/>
  <c r="W41" i="1"/>
  <c r="W42" i="1"/>
  <c r="W40" i="1"/>
  <c r="W38" i="1"/>
  <c r="W33" i="1"/>
</calcChain>
</file>

<file path=xl/sharedStrings.xml><?xml version="1.0" encoding="utf-8"?>
<sst xmlns="http://schemas.openxmlformats.org/spreadsheetml/2006/main" count="1008" uniqueCount="275">
  <si>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</si>
  <si>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</si>
  <si>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</si>
  <si>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</si>
  <si>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</si>
  <si>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</si>
  <si>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</si>
  <si>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</si>
  <si>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</si>
  <si>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</si>
  <si>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</si>
  <si>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</si>
  <si>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</si>
  <si>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</si>
  <si>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</si>
  <si>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Position</t>
  </si>
  <si>
    <t>Points</t>
  </si>
  <si>
    <t>Rider/Class</t>
  </si>
  <si>
    <t>Expert</t>
  </si>
  <si>
    <t>January</t>
  </si>
  <si>
    <t>May</t>
  </si>
  <si>
    <t>June</t>
  </si>
  <si>
    <t>July</t>
  </si>
  <si>
    <t>September</t>
  </si>
  <si>
    <t>November</t>
  </si>
  <si>
    <t>December</t>
  </si>
  <si>
    <t>Bexleyheath</t>
  </si>
  <si>
    <t>Owls</t>
  </si>
  <si>
    <t>Erith</t>
  </si>
  <si>
    <t>Kent+Sussex</t>
  </si>
  <si>
    <t>Sidcup</t>
  </si>
  <si>
    <t>Gravesend</t>
  </si>
  <si>
    <t>Total</t>
  </si>
  <si>
    <t>Expert B</t>
  </si>
  <si>
    <t>Intermediate</t>
  </si>
  <si>
    <t>Inter B</t>
  </si>
  <si>
    <t>Over 40 Inter</t>
  </si>
  <si>
    <t>Novice</t>
  </si>
  <si>
    <t>Over 50 Novice</t>
  </si>
  <si>
    <t>Youth Inter</t>
  </si>
  <si>
    <t>Youth Novice</t>
  </si>
  <si>
    <t>Youth Sportsman</t>
  </si>
  <si>
    <t>Double 5</t>
  </si>
  <si>
    <t>Number of point scoring rounds</t>
  </si>
  <si>
    <t>Published by Liam Seamer</t>
  </si>
  <si>
    <t>Scoring System</t>
  </si>
  <si>
    <t>Youth Expert</t>
  </si>
  <si>
    <t>Sportsperson Route</t>
  </si>
  <si>
    <t>P67/Twinshock Red</t>
  </si>
  <si>
    <t>P67/Twinshock Blue</t>
  </si>
  <si>
    <t>Youth Expert B</t>
  </si>
  <si>
    <t>Youth Inter B</t>
  </si>
  <si>
    <t>Wickham</t>
  </si>
  <si>
    <t>August</t>
  </si>
  <si>
    <t>Gary Roberts</t>
  </si>
  <si>
    <t>Michael Hollyer</t>
  </si>
  <si>
    <t>Jack Taylor</t>
  </si>
  <si>
    <t>James Coker</t>
  </si>
  <si>
    <t>Paul Robey</t>
  </si>
  <si>
    <t>Marc Taylor</t>
  </si>
  <si>
    <t>John Bird</t>
  </si>
  <si>
    <t>Derek Baker</t>
  </si>
  <si>
    <t>Greg Harris</t>
  </si>
  <si>
    <t>Nicola Clarke</t>
  </si>
  <si>
    <t>George Chilman</t>
  </si>
  <si>
    <t>Lee Brocklehurst</t>
  </si>
  <si>
    <t>Liam Seamer</t>
  </si>
  <si>
    <t>Mark Robinson</t>
  </si>
  <si>
    <t>Thomas Norris</t>
  </si>
  <si>
    <t>Ian Coulter</t>
  </si>
  <si>
    <t>Robert Snelgrove</t>
  </si>
  <si>
    <t>Alan Coulter</t>
  </si>
  <si>
    <t>Neil Spencer</t>
  </si>
  <si>
    <t>Kevin Gleadow</t>
  </si>
  <si>
    <t>Hector Kemp</t>
  </si>
  <si>
    <t>Willow Kemp</t>
  </si>
  <si>
    <t>Ian Pape</t>
  </si>
  <si>
    <t>Alec Nelson</t>
  </si>
  <si>
    <t>Observed? Y or N</t>
  </si>
  <si>
    <t>Best 8 Rounds including penalty</t>
  </si>
  <si>
    <t>N</t>
  </si>
  <si>
    <t>Penalty Applied</t>
  </si>
  <si>
    <t>Aaron Seamer</t>
  </si>
  <si>
    <t>Andrew Warwicker</t>
  </si>
  <si>
    <t>Graham Bayliss</t>
  </si>
  <si>
    <t>Monte Bryant</t>
  </si>
  <si>
    <t>Jason Arnold</t>
  </si>
  <si>
    <t>Lee Powell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</si>
  <si>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</si>
  <si>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</si>
  <si>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</si>
  <si>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</si>
  <si>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</si>
  <si>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</si>
  <si>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</si>
  <si>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</si>
  <si>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</si>
  <si>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</si>
  <si>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</si>
  <si>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</si>
  <si>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Tom Kemp</t>
  </si>
  <si>
    <t>Kurt Gigney</t>
  </si>
  <si>
    <t>Katie Butcher</t>
  </si>
  <si>
    <t>Alex Davies</t>
  </si>
  <si>
    <t>Max Whorlow</t>
  </si>
  <si>
    <t>David Kent</t>
  </si>
  <si>
    <t>David Little</t>
  </si>
  <si>
    <t>David Griffiths</t>
  </si>
  <si>
    <t>Harry Whorlow</t>
  </si>
  <si>
    <t>James Bryant</t>
  </si>
  <si>
    <t>Allan Lown</t>
  </si>
  <si>
    <t>Rowan Dean</t>
  </si>
  <si>
    <t>Lilly Wright</t>
  </si>
  <si>
    <t>Charlie Gigney</t>
  </si>
  <si>
    <t>Jake Dobson</t>
  </si>
  <si>
    <t>Frankie Ely</t>
  </si>
  <si>
    <t>Andrew Ely</t>
  </si>
  <si>
    <t>Max Isard</t>
  </si>
  <si>
    <t>Antony Booth</t>
  </si>
  <si>
    <t>Graham Knowler</t>
  </si>
  <si>
    <t>David Strank</t>
  </si>
  <si>
    <t>Barham</t>
  </si>
  <si>
    <t>Ashford</t>
  </si>
  <si>
    <t>Tenterden</t>
  </si>
  <si>
    <t>Sittingbourne</t>
  </si>
  <si>
    <t>Reggie Norris</t>
  </si>
  <si>
    <t>Andy Pierce</t>
  </si>
  <si>
    <t>Harley Stephens</t>
  </si>
  <si>
    <t>Gavin Cooper</t>
  </si>
  <si>
    <t>Jason Clifford</t>
  </si>
  <si>
    <t>Roy Beatty</t>
  </si>
  <si>
    <t>Flynn Joyce</t>
  </si>
  <si>
    <t>Grant Martin</t>
  </si>
  <si>
    <t>Richard Lewis</t>
  </si>
  <si>
    <t>2024 KTC Aggregate</t>
  </si>
  <si>
    <t>April R1</t>
  </si>
  <si>
    <t>April R2</t>
  </si>
  <si>
    <t>Club</t>
  </si>
  <si>
    <t>Robert Stevenson</t>
  </si>
  <si>
    <t>Wickham MCC</t>
  </si>
  <si>
    <t>Craig Dean</t>
  </si>
  <si>
    <t>Jon Allen</t>
  </si>
  <si>
    <t>Jack Beck</t>
  </si>
  <si>
    <t>Doug Norris</t>
  </si>
  <si>
    <t>Marcus Wright</t>
  </si>
  <si>
    <t>Geoff Montgomerie</t>
  </si>
  <si>
    <t>Kevin Morphett</t>
  </si>
  <si>
    <t>Mark Smith</t>
  </si>
  <si>
    <t>Richard Brush</t>
  </si>
  <si>
    <t>Chris Anderson</t>
  </si>
  <si>
    <t>Stephen Craig</t>
  </si>
  <si>
    <t>K &amp; S</t>
  </si>
  <si>
    <t>Allan Clark</t>
  </si>
  <si>
    <t>Paul Norris</t>
  </si>
  <si>
    <t>Robin Whorlow</t>
  </si>
  <si>
    <t>Warren Eves</t>
  </si>
  <si>
    <t>Mark Teal</t>
  </si>
  <si>
    <t>Jim Oppen</t>
  </si>
  <si>
    <t>Graham Packham</t>
  </si>
  <si>
    <t>Samual kent</t>
  </si>
  <si>
    <t>Kent Youth</t>
  </si>
  <si>
    <t>Freddie Stephens</t>
  </si>
  <si>
    <t>Jack Stiles</t>
  </si>
  <si>
    <t>Ronny Taylor</t>
  </si>
  <si>
    <t>Dan Blackford</t>
  </si>
  <si>
    <t>K&amp;S</t>
  </si>
  <si>
    <t>Jaiden Atkins</t>
  </si>
  <si>
    <t>Ashley Newbery</t>
  </si>
  <si>
    <t>Jon Andress</t>
  </si>
  <si>
    <t>Tim Taylor</t>
  </si>
  <si>
    <t>Scott Wilson</t>
  </si>
  <si>
    <t>Robbie Nutbrown</t>
  </si>
  <si>
    <t>James Brooker</t>
  </si>
  <si>
    <t>Rory Macgowan</t>
  </si>
  <si>
    <t>Luke White</t>
  </si>
  <si>
    <t>Jamie Clarke</t>
  </si>
  <si>
    <t>Chris Horton</t>
  </si>
  <si>
    <t>Nigel Frankling</t>
  </si>
  <si>
    <t>Stephen Bailey</t>
  </si>
  <si>
    <t>John-Paul Scott</t>
  </si>
  <si>
    <t>Darren Mowat</t>
  </si>
  <si>
    <t>Gareth Claire</t>
  </si>
  <si>
    <t>Ken Cross</t>
  </si>
  <si>
    <t>Gary Woodward</t>
  </si>
  <si>
    <t>David Skinner</t>
  </si>
  <si>
    <t>Edward Mowat</t>
  </si>
  <si>
    <t>Tristan Phipps</t>
  </si>
  <si>
    <t>Joshua Griffin</t>
  </si>
  <si>
    <t>Celetse Phipps</t>
  </si>
  <si>
    <t>Y</t>
  </si>
  <si>
    <t>y</t>
  </si>
  <si>
    <t>Jason Lucking</t>
  </si>
  <si>
    <t>Fred Ward</t>
  </si>
  <si>
    <t>Joe Beard</t>
  </si>
  <si>
    <t>Phillip Tickner-Wan</t>
  </si>
  <si>
    <t>Kent &amp; Sussex</t>
  </si>
  <si>
    <t>Sam Kent</t>
  </si>
  <si>
    <t>Ned Eagles</t>
  </si>
  <si>
    <t>Jacob Ivory-Orum</t>
  </si>
  <si>
    <t>Joe Munday</t>
  </si>
  <si>
    <t>Robert Rout</t>
  </si>
  <si>
    <t>David Garner</t>
  </si>
  <si>
    <t>Adrian Wainwright</t>
  </si>
  <si>
    <t>Darren Smith</t>
  </si>
  <si>
    <t>Mathew Hann</t>
  </si>
  <si>
    <t>Max Robinson</t>
  </si>
  <si>
    <t>Ethan Munday</t>
  </si>
  <si>
    <t>Henry Lingham</t>
  </si>
  <si>
    <t>Gareth Clare</t>
  </si>
  <si>
    <t>Roy Purvis</t>
  </si>
  <si>
    <t>Tom Bartum</t>
  </si>
  <si>
    <t>Neil Wakeman</t>
  </si>
  <si>
    <t>Martin Stevens</t>
  </si>
  <si>
    <t>Michael Nutbrown</t>
  </si>
  <si>
    <t>Richard Johnson</t>
  </si>
  <si>
    <t>Phil Stewart</t>
  </si>
  <si>
    <t>Kent and Sussex</t>
  </si>
  <si>
    <t>Stuart Littler</t>
  </si>
  <si>
    <t>Allan Brown</t>
  </si>
  <si>
    <t>Mick Smith</t>
  </si>
  <si>
    <t>Fletcher Ely</t>
  </si>
  <si>
    <t>Kaydon Hart</t>
  </si>
  <si>
    <t>Dan Isard</t>
  </si>
  <si>
    <t>Edward Mooney</t>
  </si>
  <si>
    <t>Enzo Allfrey</t>
  </si>
  <si>
    <t>Jack Little</t>
  </si>
  <si>
    <t>Ian Mooney</t>
  </si>
  <si>
    <t>Tommy Lingham</t>
  </si>
  <si>
    <t>Adam Marshall</t>
  </si>
  <si>
    <t>Extra Combine</t>
  </si>
  <si>
    <t>October 6th</t>
  </si>
  <si>
    <t>October 13th</t>
  </si>
  <si>
    <t>Graham Thomas</t>
  </si>
  <si>
    <t>Daniel Isard</t>
  </si>
  <si>
    <t>Dougie Blackford</t>
  </si>
  <si>
    <t>Brynn Matton</t>
  </si>
  <si>
    <t>Luke Barnett</t>
  </si>
  <si>
    <t>Andrew Furlong</t>
  </si>
  <si>
    <t>David Hobbs</t>
  </si>
  <si>
    <t>Mason Meadows</t>
  </si>
  <si>
    <t>Rich Ely</t>
  </si>
  <si>
    <t>mark Reason</t>
  </si>
  <si>
    <t>Alex Minney</t>
  </si>
  <si>
    <t>Martin Giles</t>
  </si>
  <si>
    <t>Russell Hart</t>
  </si>
  <si>
    <t>Alex Head</t>
  </si>
  <si>
    <t>Emma Thompson</t>
  </si>
  <si>
    <t>Martin Jarvis</t>
  </si>
  <si>
    <t>Jake Cuckow</t>
  </si>
  <si>
    <t>Steve Mannerings</t>
  </si>
  <si>
    <t>Shaun Wallis</t>
  </si>
  <si>
    <t>Stephen Mote</t>
  </si>
  <si>
    <t>Robert Smith</t>
  </si>
  <si>
    <t>Bryn Matton</t>
  </si>
  <si>
    <t>Oliver Cleverne</t>
  </si>
  <si>
    <t>Davod Griffiths</t>
  </si>
  <si>
    <t>Paul Cuckow</t>
  </si>
  <si>
    <t>Sean Cuckow</t>
  </si>
  <si>
    <t>Michael Smith</t>
  </si>
  <si>
    <t>Neil Houckam</t>
  </si>
  <si>
    <t>Simon Bird</t>
  </si>
  <si>
    <t>Neil Sinden</t>
  </si>
  <si>
    <t>Colin Mote</t>
  </si>
  <si>
    <t>Geoff Cornes</t>
  </si>
  <si>
    <t>Kayden-James Hart</t>
  </si>
  <si>
    <t>Alfie Scott</t>
  </si>
  <si>
    <t>Paul Baseby</t>
  </si>
  <si>
    <t>John Dudley</t>
  </si>
  <si>
    <t>Dennis Fleet</t>
  </si>
  <si>
    <t>Dave Blanchard</t>
  </si>
  <si>
    <t>Cheryl Matton</t>
  </si>
  <si>
    <t>Paul Warwicker</t>
  </si>
  <si>
    <t>Brinley Jones</t>
  </si>
  <si>
    <t>Will Barden</t>
  </si>
  <si>
    <t>Paul Edwards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</si>
</sst>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Eras Bold ITC"/>
      <family val="2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6DCE4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0" xfId="0" applyAlignment="1">
      <alignment textRotation="90"/>
    </xf>
    <xf numFmtId="0" fontId="0" fillId="0" borderId="1" xfId="0" applyBorder="1" applyAlignment="1">
      <alignment textRotation="90"/>
    </xf>
    <xf numFmtId="0" fontId="0" fillId="2" borderId="1" xfId="0" applyFill="1" applyBorder="1" applyAlignment="1">
      <alignment textRotation="90"/>
    </xf>
    <xf numFmtId="0" fontId="0" fillId="0" borderId="12" xfId="0" applyBorder="1"/>
    <xf numFmtId="0" fontId="0" fillId="0" borderId="11" xfId="0" applyBorder="1"/>
    <xf numFmtId="0" fontId="0" fillId="0" borderId="10" xfId="0" applyBorder="1"/>
    <xf numFmtId="0" fontId="0" fillId="0" borderId="9" xfId="0" applyBorder="1"/>
    <xf numFmtId="0" fontId="0" fillId="0" borderId="8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15" xfId="0" applyFill="1" applyBorder="1"/>
    <xf numFmtId="0" fontId="0" fillId="3" borderId="16" xfId="0" applyFill="1" applyBorder="1"/>
    <xf numFmtId="0" fontId="0" fillId="3" borderId="19" xfId="0" applyFill="1" applyBorder="1"/>
    <xf numFmtId="0" fontId="0" fillId="0" borderId="19" xfId="0" applyBorder="1"/>
    <xf numFmtId="0" fontId="0" fillId="0" borderId="22" xfId="0" applyBorder="1"/>
    <xf numFmtId="0" fontId="0" fillId="0" borderId="21" xfId="0" applyBorder="1"/>
    <xf numFmtId="0" fontId="0" fillId="3" borderId="25" xfId="0" applyFill="1" applyBorder="1"/>
    <xf numFmtId="0" fontId="0" fillId="0" borderId="25" xfId="0" applyBorder="1"/>
    <xf numFmtId="0" fontId="0" fillId="0" borderId="23" xfId="0" applyBorder="1"/>
    <xf numFmtId="0" fontId="0" fillId="0" borderId="24" xfId="0" applyBorder="1"/>
    <xf numFmtId="0" fontId="0" fillId="0" borderId="20" xfId="0" applyBorder="1"/>
    <xf numFmtId="0" fontId="0" fillId="0" borderId="26" xfId="0" applyBorder="1"/>
    <xf numFmtId="0" fontId="0" fillId="3" borderId="0" xfId="0" applyFill="1"/>
    <xf numFmtId="0" fontId="0" fillId="2" borderId="6" xfId="0" applyFill="1" applyBorder="1" applyAlignment="1">
      <alignment textRotation="90"/>
    </xf>
    <xf numFmtId="0" fontId="0" fillId="0" borderId="6" xfId="0" applyBorder="1" applyAlignment="1">
      <alignment textRotation="90"/>
    </xf>
    <xf numFmtId="0" fontId="4" fillId="0" borderId="27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13" xfId="0" applyBorder="1"/>
    <xf numFmtId="0" fontId="1" fillId="0" borderId="4" xfId="0" applyFont="1" applyBorder="1"/>
    <xf numFmtId="0" fontId="0" fillId="0" borderId="3" xfId="0" applyBorder="1"/>
    <xf numFmtId="0" fontId="0" fillId="4" borderId="0" xfId="0" applyFill="1"/>
    <xf numFmtId="0" fontId="6" fillId="0" borderId="12" xfId="0" applyFont="1" applyBorder="1"/>
    <xf numFmtId="0" fontId="6" fillId="0" borderId="0" xfId="0" applyFont="1"/>
    <xf numFmtId="0" fontId="6" fillId="0" borderId="6" xfId="0" applyFont="1" applyBorder="1"/>
    <xf numFmtId="0" fontId="6" fillId="0" borderId="5" xfId="0" applyFont="1" applyBorder="1"/>
    <xf numFmtId="0" fontId="0" fillId="4" borderId="6" xfId="0" applyFill="1" applyBorder="1"/>
    <xf numFmtId="0" fontId="0" fillId="4" borderId="5" xfId="0" applyFill="1" applyBorder="1"/>
    <xf numFmtId="0" fontId="6" fillId="0" borderId="11" xfId="0" applyFont="1" applyBorder="1"/>
    <xf numFmtId="0" fontId="6" fillId="0" borderId="7" xfId="0" applyFont="1" applyBorder="1"/>
    <xf numFmtId="0" fontId="6" fillId="0" borderId="2" xfId="0" applyFont="1" applyBorder="1"/>
    <xf numFmtId="0" fontId="6" fillId="0" borderId="10" xfId="0" applyFont="1" applyBorder="1"/>
    <xf numFmtId="0" fontId="0" fillId="4" borderId="12" xfId="0" applyFill="1" applyBorder="1"/>
    <xf numFmtId="0" fontId="0" fillId="0" borderId="0" xfId="0" applyBorder="1"/>
    <xf numFmtId="0" fontId="0" fillId="0" borderId="6" xfId="0" applyNumberFormat="1" applyFill="1" applyBorder="1"/>
    <xf numFmtId="0" fontId="0" fillId="0" borderId="12" xfId="0" applyFill="1" applyBorder="1"/>
    <xf numFmtId="0" fontId="0" fillId="0" borderId="0" xfId="0" applyFill="1"/>
    <xf numFmtId="0" fontId="0" fillId="0" borderId="0" xfId="0" applyNumberFormat="1" applyBorder="1"/>
    <xf numFmtId="0" fontId="0" fillId="0" borderId="6" xfId="0" applyNumberFormat="1" applyBorder="1"/>
    <xf numFmtId="0" fontId="6" fillId="0" borderId="14" xfId="0" applyFont="1" applyBorder="1"/>
    <xf numFmtId="0" fontId="6" fillId="0" borderId="9" xfId="0" applyFont="1" applyBorder="1"/>
    <xf numFmtId="0" fontId="6" fillId="0" borderId="6" xfId="0" applyNumberFormat="1" applyFont="1" applyFill="1" applyBorder="1"/>
    <xf numFmtId="0" fontId="6" fillId="0" borderId="12" xfId="0" applyFont="1" applyFill="1" applyBorder="1"/>
    <xf numFmtId="0" fontId="6" fillId="0" borderId="0" xfId="0" applyFont="1" applyFill="1"/>
    <xf numFmtId="0" fontId="6" fillId="0" borderId="11" xfId="0" applyNumberFormat="1" applyFont="1" applyFill="1" applyBorder="1"/>
    <xf numFmtId="0" fontId="0" fillId="0" borderId="12" xfId="0" applyNumberFormat="1" applyFill="1" applyBorder="1"/>
    <xf numFmtId="0" fontId="0" fillId="4" borderId="6" xfId="0" applyNumberFormat="1" applyFill="1" applyBorder="1"/>
    <xf numFmtId="0" fontId="0" fillId="0" borderId="0" xfId="0" applyNumberFormat="1" applyFill="1"/>
    <xf numFmtId="0" fontId="0" fillId="0" borderId="6" xfId="0" applyFill="1" applyBorder="1"/>
    <xf numFmtId="0" fontId="6" fillId="0" borderId="7" xfId="0" applyFont="1" applyFill="1" applyBorder="1"/>
    <xf numFmtId="0" fontId="6" fillId="0" borderId="6" xfId="0" applyFont="1" applyFill="1" applyBorder="1"/>
    <xf numFmtId="0" fontId="6" fillId="0" borderId="0" xfId="0" applyFont="1" applyBorder="1"/>
    <xf numFmtId="0" fontId="6" fillId="0" borderId="2" xfId="0" applyFont="1" applyFill="1" applyBorder="1"/>
    <xf numFmtId="0" fontId="6" fillId="0" borderId="10" xfId="0" applyFont="1" applyFill="1" applyBorder="1"/>
    <xf numFmtId="0" fontId="7" fillId="0" borderId="12" xfId="0" applyFont="1" applyBorder="1"/>
    <xf numFmtId="0" fontId="0" fillId="0" borderId="5" xfId="0" applyFill="1" applyBorder="1"/>
    <xf numFmtId="0" fontId="0" fillId="5" borderId="1" xfId="0" applyFill="1" applyBorder="1" applyAlignment="1">
      <alignment textRotation="90"/>
    </xf>
    <xf numFmtId="0" fontId="0" fillId="5" borderId="6" xfId="0" applyFill="1" applyBorder="1" applyAlignment="1">
      <alignment textRotation="90"/>
    </xf>
    <xf numFmtId="0" fontId="0" fillId="0" borderId="11" xfId="0" applyFill="1" applyBorder="1"/>
    <xf numFmtId="0" fontId="0" fillId="0" borderId="11" xfId="0" applyNumberFormat="1" applyBorder="1"/>
    <xf numFmtId="0" fontId="7" fillId="0" borderId="6" xfId="0" applyFont="1" applyFill="1" applyBorder="1"/>
    <xf numFmtId="0" fontId="0" fillId="4" borderId="0" xfId="0" applyNumberFormat="1" applyFill="1"/>
    <xf numFmtId="0" fontId="0" fillId="4" borderId="12" xfId="0" applyNumberFormat="1" applyFill="1" applyBorder="1"/>
    <xf numFmtId="0" fontId="7" fillId="0" borderId="12" xfId="0" applyNumberFormat="1" applyFont="1" applyFill="1" applyBorder="1"/>
    <xf numFmtId="0" fontId="6" fillId="0" borderId="0" xfId="0" applyFont="1" applyFill="1" applyBorder="1"/>
    <xf numFmtId="0" fontId="0" fillId="6" borderId="1" xfId="0" applyFill="1" applyBorder="1" applyAlignment="1">
      <alignment textRotation="90"/>
    </xf>
    <xf numFmtId="0" fontId="1" fillId="6" borderId="4" xfId="0" applyFont="1" applyFill="1" applyBorder="1"/>
    <xf numFmtId="0" fontId="0" fillId="6" borderId="13" xfId="0" applyFill="1" applyBorder="1" applyAlignment="1">
      <alignment horizontal="center"/>
    </xf>
    <xf numFmtId="0" fontId="0" fillId="0" borderId="28" xfId="0" applyBorder="1"/>
    <xf numFmtId="0" fontId="0" fillId="0" borderId="7" xfId="0" applyFill="1" applyBorder="1"/>
    <xf numFmtId="0" fontId="7" fillId="4" borderId="6" xfId="0" applyFont="1" applyFill="1" applyBorder="1"/>
    <xf numFmtId="0" fontId="0" fillId="0" borderId="1" xfId="0" applyFill="1" applyBorder="1" applyAlignment="1">
      <alignment textRotation="90"/>
    </xf>
    <xf numFmtId="0" fontId="0" fillId="0" borderId="0" xfId="0" applyBorder="1" applyAlignment="1">
      <alignment horizontal="center"/>
    </xf>
    <xf numFmtId="0" fontId="1" fillId="0" borderId="0" xfId="0" applyFont="1" applyFill="1" applyBorder="1"/>
    <xf numFmtId="0" fontId="0" fillId="0" borderId="13" xfId="0" applyBorder="1" applyAlignment="1">
      <alignment horizontal="right"/>
    </xf>
    <xf numFmtId="0" fontId="6" fillId="0" borderId="28" xfId="0" applyFont="1" applyBorder="1"/>
    <xf numFmtId="0" fontId="0" fillId="0" borderId="0" xfId="0" applyFill="1" applyBorder="1"/>
    <xf numFmtId="0" fontId="8" fillId="6" borderId="4" xfId="0" applyFont="1" applyFill="1" applyBorder="1"/>
    <xf numFmtId="0" fontId="8" fillId="6" borderId="13" xfId="0" applyFont="1" applyFill="1" applyBorder="1"/>
    <xf numFmtId="0" fontId="8" fillId="6" borderId="1" xfId="0" applyFont="1" applyFill="1" applyBorder="1"/>
    <xf numFmtId="0" fontId="8" fillId="6" borderId="6" xfId="0" applyFont="1" applyFill="1" applyBorder="1" applyAlignment="1">
      <alignment textRotation="90"/>
    </xf>
    <xf numFmtId="0" fontId="8" fillId="6" borderId="9" xfId="0" applyFont="1" applyFill="1" applyBorder="1"/>
    <xf numFmtId="0" fontId="8" fillId="6" borderId="8" xfId="0" applyFont="1" applyFill="1" applyBorder="1"/>
    <xf numFmtId="0" fontId="8" fillId="6" borderId="14" xfId="0" applyFont="1" applyFill="1" applyBorder="1"/>
    <xf numFmtId="0" fontId="8" fillId="6" borderId="5" xfId="0" applyFont="1" applyFill="1" applyBorder="1" applyAlignment="1">
      <alignment textRotation="90"/>
    </xf>
    <xf numFmtId="0" fontId="0" fillId="0" borderId="14" xfId="0" applyBorder="1"/>
    <xf numFmtId="0" fontId="0" fillId="0" borderId="12" xfId="0" applyFont="1" applyFill="1" applyBorder="1"/>
    <xf numFmtId="0" fontId="8" fillId="6" borderId="0" xfId="0" applyFont="1" applyFill="1"/>
    <xf numFmtId="0" fontId="1" fillId="0" borderId="9" xfId="0" applyFont="1" applyBorder="1"/>
    <xf numFmtId="0" fontId="0" fillId="0" borderId="5" xfId="0" applyBorder="1" applyAlignment="1">
      <alignment textRotation="90"/>
    </xf>
    <xf numFmtId="0" fontId="0" fillId="0" borderId="28" xfId="0" applyFill="1" applyBorder="1"/>
    <xf numFmtId="0" fontId="0" fillId="0" borderId="2" xfId="0" applyFill="1" applyBorder="1"/>
    <xf numFmtId="0" fontId="0" fillId="0" borderId="10" xfId="0" applyFill="1" applyBorder="1"/>
    <xf numFmtId="0" fontId="0" fillId="0" borderId="7" xfId="0" applyNumberFormat="1" applyFill="1" applyBorder="1"/>
    <xf numFmtId="0" fontId="0" fillId="0" borderId="2" xfId="0" applyNumberFormat="1" applyBorder="1"/>
    <xf numFmtId="0" fontId="0" fillId="0" borderId="7" xfId="0" applyNumberFormat="1" applyBorder="1"/>
    <xf numFmtId="0" fontId="6" fillId="0" borderId="0" xfId="0" applyFont="1" applyFill="1" applyAlignment="1">
      <alignment horizontal="right"/>
    </xf>
    <xf numFmtId="0" fontId="6" fillId="0" borderId="12" xfId="0" applyFont="1" applyFill="1" applyBorder="1" applyAlignment="1">
      <alignment horizontal="right"/>
    </xf>
    <xf numFmtId="0" fontId="0" fillId="0" borderId="8" xfId="0" applyFill="1" applyBorder="1"/>
    <xf numFmtId="0" fontId="0" fillId="0" borderId="14" xfId="0" applyFill="1" applyBorder="1"/>
    <xf numFmtId="0" fontId="0" fillId="0" borderId="9" xfId="0" applyFill="1" applyBorder="1"/>
    <xf numFmtId="0" fontId="0" fillId="0" borderId="5" xfId="0" applyNumberFormat="1" applyFill="1" applyBorder="1"/>
    <xf numFmtId="0" fontId="0" fillId="0" borderId="8" xfId="0" applyNumberFormat="1" applyBorder="1"/>
    <xf numFmtId="0" fontId="0" fillId="0" borderId="5" xfId="0" applyNumberFormat="1" applyBorder="1"/>
    <xf numFmtId="0" fontId="9" fillId="0" borderId="6" xfId="0" applyFont="1" applyFill="1" applyBorder="1"/>
    <xf numFmtId="0" fontId="9" fillId="0" borderId="6" xfId="0" applyFont="1" applyBorder="1"/>
    <xf numFmtId="0" fontId="9" fillId="0" borderId="0" xfId="0" applyFont="1" applyBorder="1"/>
    <xf numFmtId="0" fontId="9" fillId="0" borderId="12" xfId="0" applyFont="1" applyBorder="1"/>
    <xf numFmtId="0" fontId="9" fillId="0" borderId="11" xfId="0" applyFont="1" applyBorder="1"/>
    <xf numFmtId="0" fontId="9" fillId="0" borderId="12" xfId="0" applyFont="1" applyFill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0" xfId="0" applyFont="1" applyFill="1"/>
    <xf numFmtId="0" fontId="9" fillId="0" borderId="5" xfId="0" applyFont="1" applyBorder="1"/>
    <xf numFmtId="0" fontId="9" fillId="0" borderId="6" xfId="0" applyNumberFormat="1" applyFont="1" applyFill="1" applyBorder="1"/>
    <xf numFmtId="0" fontId="9" fillId="0" borderId="14" xfId="0" applyFont="1" applyBorder="1"/>
    <xf numFmtId="0" fontId="9" fillId="0" borderId="9" xfId="0" applyFont="1" applyBorder="1"/>
    <xf numFmtId="0" fontId="9" fillId="0" borderId="8" xfId="0" applyFont="1" applyBorder="1"/>
    <xf numFmtId="0" fontId="7" fillId="0" borderId="12" xfId="0" applyFont="1" applyFill="1" applyBorder="1"/>
    <xf numFmtId="0" fontId="7" fillId="0" borderId="13" xfId="0" applyFont="1" applyFill="1" applyBorder="1"/>
    <xf numFmtId="0" fontId="7" fillId="0" borderId="5" xfId="0" applyFont="1" applyFill="1" applyBorder="1"/>
    <xf numFmtId="0" fontId="7" fillId="0" borderId="0" xfId="0" applyFont="1" applyFill="1"/>
    <xf numFmtId="0" fontId="9" fillId="0" borderId="5" xfId="0" applyFont="1" applyFill="1" applyBorder="1"/>
    <xf numFmtId="0" fontId="9" fillId="0" borderId="5" xfId="0" applyNumberFormat="1" applyFont="1" applyFill="1" applyBorder="1"/>
    <xf numFmtId="0" fontId="9" fillId="0" borderId="14" xfId="0" applyFont="1" applyFill="1" applyBorder="1"/>
    <xf numFmtId="0" fontId="9" fillId="0" borderId="11" xfId="0" applyFont="1" applyFill="1" applyBorder="1"/>
    <xf numFmtId="0" fontId="0" fillId="0" borderId="13" xfId="0" applyFill="1" applyBorder="1" applyAlignment="1">
      <alignment textRotation="90"/>
    </xf>
    <xf numFmtId="0" fontId="0" fillId="0" borderId="2" xfId="0" applyFill="1" applyBorder="1" applyAlignment="1">
      <alignment textRotation="90"/>
    </xf>
    <xf numFmtId="0" fontId="0" fillId="7" borderId="7" xfId="0" applyFill="1" applyBorder="1" applyAlignment="1">
      <alignment textRotation="90"/>
    </xf>
    <xf numFmtId="0" fontId="0" fillId="7" borderId="13" xfId="0" applyFill="1" applyBorder="1" applyAlignment="1">
      <alignment textRotation="90"/>
    </xf>
    <xf numFmtId="0" fontId="0" fillId="7" borderId="2" xfId="0" applyFill="1" applyBorder="1" applyAlignment="1">
      <alignment textRotation="90"/>
    </xf>
    <xf numFmtId="0" fontId="0" fillId="7" borderId="1" xfId="0" applyFill="1" applyBorder="1" applyAlignment="1">
      <alignment textRotation="90"/>
    </xf>
    <xf numFmtId="0" fontId="0" fillId="0" borderId="7" xfId="0" applyFill="1" applyBorder="1" applyAlignment="1">
      <alignment textRotation="90"/>
    </xf>
    <xf numFmtId="0" fontId="6" fillId="0" borderId="14" xfId="0" applyFont="1" applyFill="1" applyBorder="1"/>
    <xf numFmtId="0" fontId="9" fillId="0" borderId="0" xfId="0" applyFont="1" applyFill="1" applyBorder="1"/>
    <xf numFmtId="0" fontId="9" fillId="0" borderId="0" xfId="0" applyFont="1" applyFill="1" applyAlignment="1">
      <alignment horizontal="right"/>
    </xf>
    <xf numFmtId="0" fontId="6" fillId="0" borderId="7" xfId="0" applyNumberFormat="1" applyFont="1" applyFill="1" applyBorder="1"/>
    <xf numFmtId="0" fontId="6" fillId="0" borderId="11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400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>
          <fgColor indexed="64"/>
          <bgColor rgb="FFFF0000"/>
        </patternFill>
      </fill>
      <border outline="0">
        <right style="medium">
          <color indexed="64"/>
        </right>
      </border>
    </dxf>
    <dxf>
      <numFmt numFmtId="0" formatCode="General"/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rgb="FFFF0000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rgb="FFFF0000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vertical/>
      </border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top/>
        <bottom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outline="0">
        <right style="medium">
          <color indexed="64"/>
        </right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outline="0">
        <left style="medium">
          <color indexed="64"/>
        </left>
        <right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1B87BF-4FCF-4B58-B380-26829C579A6B}" name="Table1" displayName="Table1" ref="E10:X27" headerRowDxfId="399" dataDxfId="398" tableBorderDxfId="397">
  <autoFilter ref="E10:X27" xr:uid="{111B87BF-4FCF-4B58-B380-26829C579A6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11:X27">
    <sortCondition descending="1" ref="W11:W27"/>
  </sortState>
  <tableColumns count="20">
    <tableColumn id="20" xr3:uid="{A503E070-3750-4831-93A5-69E4E9E52806}" name="Expert" dataDxfId="396" totalsRowDxfId="395"/>
    <tableColumn id="1" xr3:uid="{E9C305B5-08AE-4AEB-A0D1-790741AD6C83}" name="Club" totalsRowLabel="Total" dataDxfId="394" totalsRowDxfId="393"/>
    <tableColumn id="2" xr3:uid="{22CEBFE2-DDD0-479F-B98E-772F6E364E25}" name="1" dataDxfId="392" totalsRowDxfId="391"/>
    <tableColumn id="3" xr3:uid="{F7235FFC-694A-4C07-80AC-DE53A49F1F8D}" name="2" dataDxfId="390" totalsRowDxfId="389"/>
    <tableColumn id="4" xr3:uid="{56D22852-7EEE-4C41-BB1B-687F032D87DD}" name="3" dataDxfId="388" totalsRowDxfId="387"/>
    <tableColumn id="5" xr3:uid="{2463C2F6-F591-48C4-B77F-C6570BFE24D0}" name="4" dataDxfId="386" totalsRowDxfId="385"/>
    <tableColumn id="6" xr3:uid="{05C84317-0774-43D6-BB5B-D74F9FB410B7}" name="5" dataDxfId="384" totalsRowDxfId="383"/>
    <tableColumn id="7" xr3:uid="{8833EDD4-0CEC-42FC-A7B2-FABDF446AFBA}" name="6" dataDxfId="382" totalsRowDxfId="381"/>
    <tableColumn id="8" xr3:uid="{A94F609B-23DD-4B79-92C7-F0C6BDD423B7}" name="7" dataDxfId="380" totalsRowDxfId="379"/>
    <tableColumn id="9" xr3:uid="{53671E7B-C39C-4276-86BE-44697AF1FD89}" name="8" dataDxfId="378" totalsRowDxfId="377"/>
    <tableColumn id="10" xr3:uid="{57D2B475-FF23-4020-920E-21EC4515A04E}" name="9" dataDxfId="376" totalsRowDxfId="375"/>
    <tableColumn id="11" xr3:uid="{A8BE424D-FDF1-4CDD-9415-356866423485}" name="10" dataDxfId="374" totalsRowDxfId="373"/>
    <tableColumn id="12" xr3:uid="{4910178E-51DC-441E-B9F4-DBC57899C6AC}" name="11" dataDxfId="372" totalsRowDxfId="371"/>
    <tableColumn id="13" xr3:uid="{027941FB-8C95-40CA-8E01-1F32E5FFB479}" name="12" dataDxfId="370" totalsRowDxfId="369"/>
    <tableColumn id="14" xr3:uid="{0B2FB98B-90E3-438D-8694-3A9D9D6A148C}" name="Total" dataDxfId="368" totalsRowDxfId="367">
      <calculatedColumnFormula>SUM(Table1[[#This Row],[1]:[12]])</calculatedColumnFormula>
    </tableColumn>
    <tableColumn id="15" xr3:uid="{05000E9D-0ABD-4F74-9236-D57CB998696D}" name="Number of point scoring rounds" dataDxfId="366" totalsRowDxfId="365">
      <calculatedColumnFormula>COUNTIF(G11:R11,"&gt;1")</calculatedColumnFormula>
    </tableColumn>
    <tableColumn id="16" xr3:uid="{26458221-87EA-4762-BD8D-32CA1EA740F0}" name="Observed? Y or N" dataDxfId="364" totalsRowDxfId="363"/>
    <tableColumn id="17" xr3:uid="{4001F6B1-364E-4817-A724-7CB52D426489}" name="Penalty Applied" totalsRowFunction="count" dataDxfId="362" totalsRowDxfId="361">
      <calculatedColumnFormula>IF(Table1[[#This Row],[Observed? Y or N]]="N", "-20", "0")</calculatedColumnFormula>
    </tableColumn>
    <tableColumn id="18" xr3:uid="{BF2D3F39-4823-4D7E-8178-C4BAA97562F8}" name="Best 8 Rounds including penalty" dataDxfId="360">
      <calculatedColumnFormula>Table1[[#This Row],[Total]]+Table1[[#This Row],[Penalty Applied]]-Table1[[#This Row],[1]]</calculatedColumnFormula>
    </tableColumn>
    <tableColumn id="19" xr3:uid="{8F339912-2E7C-4B90-B04A-85581401357D}" name="Position" dataDxfId="359" totalsRowDxfId="35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BC7ABCF-8089-4115-94E3-3B0B2C18DFF2}" name="Table11" displayName="Table11" ref="E225:V229" totalsRowShown="0" headerRowDxfId="176" tableBorderDxfId="175">
  <autoFilter ref="E225:V229" xr:uid="{ABC7ABCF-8089-4115-94E3-3B0B2C18DFF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6" xr3:uid="{953E9ADB-6E28-4284-97C9-26FD4C2BAC7B}" name="Youth Expert" dataDxfId="174"/>
    <tableColumn id="1" xr3:uid="{1C9AC0DB-BFA3-46A9-8F46-2A4943A0A640}" name="Club" dataDxfId="173"/>
    <tableColumn id="2" xr3:uid="{0C988B77-EBDF-40FC-A5E7-2F09F15496FC}" name="1" dataDxfId="172"/>
    <tableColumn id="3" xr3:uid="{195B8462-F1BB-4333-909B-264402BFAF00}" name="2" dataDxfId="171"/>
    <tableColumn id="4" xr3:uid="{B549ADDD-8E5C-47AE-9CC5-0EEE17A95C5A}" name="3" dataDxfId="170"/>
    <tableColumn id="5" xr3:uid="{9832C2ED-3293-4B57-B007-5D88D462EC01}" name="4" dataDxfId="169"/>
    <tableColumn id="6" xr3:uid="{0818DC46-2F64-4F33-ACD3-28B1DC18CDBC}" name="5" dataDxfId="168"/>
    <tableColumn id="7" xr3:uid="{406C706F-4B21-484C-94CA-759A696CBC16}" name="6" dataDxfId="167"/>
    <tableColumn id="8" xr3:uid="{78AE1D3D-705C-4BFB-BD7C-A0E049185CED}" name="7" dataDxfId="166"/>
    <tableColumn id="9" xr3:uid="{F1551919-733F-47E7-9492-E3816688090F}" name="8" dataDxfId="165"/>
    <tableColumn id="10" xr3:uid="{9773F347-04C2-4927-A811-74FD1215198C}" name="9" dataDxfId="164"/>
    <tableColumn id="11" xr3:uid="{71AA3EAC-0B33-404F-B8F2-A8C986F29999}" name="10" dataDxfId="163"/>
    <tableColumn id="12" xr3:uid="{540685BC-5848-40B7-A9F1-572C19D10A13}" name="11" dataDxfId="162"/>
    <tableColumn id="13" xr3:uid="{718E5F16-90F8-4ED4-9CDA-3A431BE5991A}" name="12" dataDxfId="161"/>
    <tableColumn id="14" xr3:uid="{C400C2C4-B960-409D-BC1B-730186658A5C}" name="Total" dataDxfId="160"/>
    <tableColumn id="15" xr3:uid="{B2B2E321-8DDE-4051-A42F-432F6F78B1E0}" name="Number of point scoring rounds" dataDxfId="159">
      <calculatedColumnFormula>COUNTIF(G226:R226,"&gt;1")</calculatedColumnFormula>
    </tableColumn>
    <tableColumn id="18" xr3:uid="{5F78A2D8-35B9-4D67-B860-9D9243D17353}" name="Best 8 Rounds including penalty" dataDxfId="158">
      <calculatedColumnFormula>Table11[[#This Row],[Total]]</calculatedColumnFormula>
    </tableColumn>
    <tableColumn id="19" xr3:uid="{8C818462-6665-428D-B5B5-336C8E613F24}" name="Position" dataDxfId="15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0113705-293F-48B7-AC97-A62605B09AB2}" name="Table12" displayName="Table12" ref="E232:V234" headerRowCount="0" totalsRowShown="0" headerRowDxfId="156" tableBorderDxfId="155">
  <tableColumns count="18">
    <tableColumn id="18" xr3:uid="{EA478C67-37F9-46DD-83EB-F0CBB23C1C95}" name="Column18" headerRowDxfId="154" dataDxfId="153"/>
    <tableColumn id="1" xr3:uid="{D38F644B-7233-49C4-AB86-AC51722A3337}" name="Column1" headerRowDxfId="152"/>
    <tableColumn id="2" xr3:uid="{C895DD47-DB7F-4CE6-8969-93716FE7AE70}" name="Column2" headerRowDxfId="151" dataDxfId="150"/>
    <tableColumn id="3" xr3:uid="{8A226464-A2D6-4064-B697-58B8E96BC8C0}" name="Column3" headerRowDxfId="149" dataDxfId="148"/>
    <tableColumn id="4" xr3:uid="{045E8A83-602B-4761-9F6D-56ACCD292AA9}" name="Column4" headerRowDxfId="147" dataDxfId="146"/>
    <tableColumn id="5" xr3:uid="{57C0884C-8F99-42FE-AA28-3B703A3CEC3C}" name="Column5" headerRowDxfId="145" dataDxfId="144"/>
    <tableColumn id="6" xr3:uid="{A260A447-CB5C-4550-8149-8257517C004C}" name="Column6" headerRowDxfId="143" dataDxfId="142"/>
    <tableColumn id="7" xr3:uid="{8BA742C4-9E50-490E-88F8-D3C51B32BF27}" name="Column7" headerRowDxfId="141" dataDxfId="140"/>
    <tableColumn id="8" xr3:uid="{57AC25BC-9888-4FCD-85E2-FBAE8446D16E}" name="Column8" headerRowDxfId="139" dataDxfId="138"/>
    <tableColumn id="9" xr3:uid="{4287ED04-6CEF-45A1-8FC9-992436710AE7}" name="Column9" headerRowDxfId="137" dataDxfId="136"/>
    <tableColumn id="10" xr3:uid="{F60C7D75-81AB-4269-BB3B-25E1D0BC15C7}" name="Column10" headerRowDxfId="135" dataDxfId="134"/>
    <tableColumn id="11" xr3:uid="{305B2B25-B14E-4D28-8D16-BE55005EBC04}" name="Column11" headerRowDxfId="133" dataDxfId="132"/>
    <tableColumn id="12" xr3:uid="{5731BDCC-C408-4BE2-B91C-4A34F3E0504A}" name="Column12" headerRowDxfId="131" dataDxfId="130"/>
    <tableColumn id="13" xr3:uid="{5E3841E6-60F4-4AC9-8D92-91AF3E93716C}" name="Column13" headerRowDxfId="129" dataDxfId="128"/>
    <tableColumn id="14" xr3:uid="{1F164E09-9D2C-4FF4-A98C-05A70BCB4782}" name="Column14" headerRowDxfId="127">
      <calculatedColumnFormula>SUM(G232:R232)</calculatedColumnFormula>
    </tableColumn>
    <tableColumn id="15" xr3:uid="{601FB169-E7F8-403B-9939-5173D018BE8E}" name="Column15" headerRowDxfId="126">
      <calculatedColumnFormula>COUNTIF(G232:R232,"&gt;1")</calculatedColumnFormula>
    </tableColumn>
    <tableColumn id="16" xr3:uid="{2D4AD102-E012-46AF-B1B8-7E1A12EE6595}" name="Column16" headerRowDxfId="125"/>
    <tableColumn id="17" xr3:uid="{6D9A26DE-DE72-450E-BF84-69026EA29E8A}" name="Column17" headerRowDxfId="12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3EF2212-B074-4FA8-9909-872DFC584780}" name="Table13" displayName="Table13" ref="E237:V253" totalsRowShown="0" headerRowDxfId="123" tableBorderDxfId="122">
  <autoFilter ref="E237:V253" xr:uid="{43EF2212-B074-4FA8-9909-872DFC5847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sortState xmlns:xlrd2="http://schemas.microsoft.com/office/spreadsheetml/2017/richdata2" ref="E238:V253">
    <sortCondition descending="1" ref="U238:U253"/>
  </sortState>
  <tableColumns count="18">
    <tableColumn id="16" xr3:uid="{84CB5DC2-9DE1-44E6-8E1F-CC59F4ADAC13}" name="Youth Novice" dataDxfId="121"/>
    <tableColumn id="1" xr3:uid="{F5F699D6-5107-4465-AE72-5475161A91FB}" name="Club"/>
    <tableColumn id="2" xr3:uid="{0A89CDC4-C6A3-4F71-A159-71B5E047DB5C}" name="1" dataDxfId="120"/>
    <tableColumn id="3" xr3:uid="{318FD510-79F3-465A-A0BB-0E48F767853B}" name="2" dataDxfId="119"/>
    <tableColumn id="4" xr3:uid="{34B2B2EC-2770-4CEB-93B9-3B02D9C752EE}" name="3" dataDxfId="118"/>
    <tableColumn id="5" xr3:uid="{8B97A0B6-66FB-4921-8BDF-0AE85DD5E728}" name="4" dataDxfId="117"/>
    <tableColumn id="6" xr3:uid="{F1323DB0-4E95-483A-BB0A-7301951F9ECE}" name="5" dataDxfId="116"/>
    <tableColumn id="7" xr3:uid="{676A34A8-DF99-44E0-8709-8B00EAFD17DA}" name="6" dataDxfId="115"/>
    <tableColumn id="8" xr3:uid="{DDA16CB2-5709-427C-B11A-C7D946CC398D}" name="7" dataDxfId="114"/>
    <tableColumn id="9" xr3:uid="{0A0AAB88-63D0-4C53-B6D2-51BAD209F8D1}" name="8" dataDxfId="113"/>
    <tableColumn id="10" xr3:uid="{AE549C39-A6CD-4912-A210-C9783E23B1E4}" name="9" dataDxfId="112"/>
    <tableColumn id="11" xr3:uid="{D53101DD-0886-4551-9323-77AA323807BF}" name="10" dataDxfId="111"/>
    <tableColumn id="12" xr3:uid="{820C76E7-D9DE-4C3C-AB89-46E39D7058CB}" name="11" dataDxfId="110"/>
    <tableColumn id="13" xr3:uid="{4CD25287-0AEA-4D6F-86E1-65C2A95AEC36}" name="12" dataDxfId="109"/>
    <tableColumn id="14" xr3:uid="{81EF4444-696D-45A7-A3B7-B600250E6713}" name="Total" dataDxfId="108">
      <calculatedColumnFormula>SUM(G238:R238)</calculatedColumnFormula>
    </tableColumn>
    <tableColumn id="15" xr3:uid="{97CCF9D0-6673-4FBB-8017-C096A89AF822}" name="Number of point scoring rounds">
      <calculatedColumnFormula>COUNTIF(G238:R238,"&gt;1")</calculatedColumnFormula>
    </tableColumn>
    <tableColumn id="18" xr3:uid="{469CDB54-D21C-4469-8943-ECC07E321564}" name="Best 8 Rounds including penalty" dataDxfId="107">
      <calculatedColumnFormula>Table13[[#This Row],[Total]]</calculatedColumnFormula>
    </tableColumn>
    <tableColumn id="19" xr3:uid="{0310D515-3F51-484E-A632-3F1DC00A19B1}" name="Position" dataDxfId="10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2BB8509-4ADE-48E3-8A5B-B52BFC3D3344}" name="Table14" displayName="Table14" ref="E255:V274" totalsRowShown="0" headerRowDxfId="105" tableBorderDxfId="104">
  <autoFilter ref="E255:V274" xr:uid="{22BB8509-4ADE-48E3-8A5B-B52BFC3D334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sortState xmlns:xlrd2="http://schemas.microsoft.com/office/spreadsheetml/2017/richdata2" ref="E256:V274">
    <sortCondition descending="1" ref="U256:U274"/>
  </sortState>
  <tableColumns count="18">
    <tableColumn id="16" xr3:uid="{FFBFC2FF-BD48-48F4-89B6-D0DB8EA4310A}" name="Youth Sportsman" dataDxfId="103"/>
    <tableColumn id="1" xr3:uid="{2F0A7C73-CB74-4962-92F7-0DF978AEEDEA}" name="Club" dataDxfId="102"/>
    <tableColumn id="2" xr3:uid="{CFB3C4D8-1891-4EEF-AB3D-C3F270D77EFC}" name="1" dataDxfId="101"/>
    <tableColumn id="3" xr3:uid="{B6693B25-EFB8-49F1-8AD5-8DA70198FE00}" name="2" dataDxfId="100"/>
    <tableColumn id="4" xr3:uid="{61A129AC-7478-4BC5-9465-3C2B07AB96E1}" name="3" dataDxfId="99"/>
    <tableColumn id="5" xr3:uid="{423A82A5-3AB5-4A33-8630-1C6E09B1F7F7}" name="4" dataDxfId="98"/>
    <tableColumn id="6" xr3:uid="{6B7AFC6E-625E-45BA-B499-43B787D0B105}" name="5" dataDxfId="97"/>
    <tableColumn id="7" xr3:uid="{F2E2808F-F21D-4958-AAEF-5586E92910D8}" name="6" dataDxfId="96"/>
    <tableColumn id="8" xr3:uid="{1B7D308D-60F8-4632-AEF5-4A0779BD9EF6}" name="7" dataDxfId="95"/>
    <tableColumn id="9" xr3:uid="{480CD663-ECCB-4540-A50F-63D586C8B015}" name="8" dataDxfId="94"/>
    <tableColumn id="10" xr3:uid="{F24B11B9-1D1D-4B11-8711-782871EBFE7E}" name="9" dataDxfId="93"/>
    <tableColumn id="11" xr3:uid="{71CEDA02-C60D-49CC-8CF0-140D94C1DCDD}" name="10" dataDxfId="92"/>
    <tableColumn id="12" xr3:uid="{7233BA35-A39E-4E40-9EA4-10950E481512}" name="11" dataDxfId="91"/>
    <tableColumn id="13" xr3:uid="{6EAFD82B-7B8C-4D1C-BAD5-34E0BA69D242}" name="12" dataDxfId="90"/>
    <tableColumn id="14" xr3:uid="{5B73CBC8-6DDE-4394-8AA2-9430032B882A}" name="Total" dataDxfId="89">
      <calculatedColumnFormula>SUM(Table14[[#This Row],[1]:[12]])</calculatedColumnFormula>
    </tableColumn>
    <tableColumn id="15" xr3:uid="{DFE5A6EA-8F4A-403F-9298-5C4D74F5B4F5}" name="Number of point scoring rounds" dataDxfId="88">
      <calculatedColumnFormula>COUNTIF(G256:R256,"&gt;1")</calculatedColumnFormula>
    </tableColumn>
    <tableColumn id="18" xr3:uid="{05B49A5B-98B3-4BF6-B046-9A9E8E532E95}" name="Best 8 Rounds including penalty" dataDxfId="87">
      <calculatedColumnFormula>Table14[[#This Row],[Total]]-Table14[[#This Row],[4]]</calculatedColumnFormula>
    </tableColumn>
    <tableColumn id="19" xr3:uid="{FE51CE50-5DD3-413E-9D7C-31132762F94D}" name="Position" dataDxfId="8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992CB30-F0E7-4699-9CDA-CF26DD2B6DE5}" name="Table15" displayName="Table15" ref="E277:X296" totalsRowShown="0" headerRowDxfId="85" dataDxfId="84" tableBorderDxfId="83">
  <autoFilter ref="E277:X296" xr:uid="{2992CB30-F0E7-4699-9CDA-CF26DD2B6D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278:X296">
    <sortCondition descending="1" ref="W278:W296"/>
  </sortState>
  <tableColumns count="20">
    <tableColumn id="20" xr3:uid="{8E7E12EA-F5EC-47DF-B9AD-78030C1A11FC}" name="P67/Twinshock Red" dataDxfId="82"/>
    <tableColumn id="1" xr3:uid="{13393BE1-56A8-4C1E-B88B-DD1C6A064A84}" name="Club" dataDxfId="81"/>
    <tableColumn id="2" xr3:uid="{21612C6A-E920-44CE-AF0F-A634FAA17A91}" name="1" dataDxfId="80"/>
    <tableColumn id="3" xr3:uid="{87EB7B6C-B6E2-47C9-8542-C84F36396950}" name="2" dataDxfId="79"/>
    <tableColumn id="4" xr3:uid="{B40F5398-14A8-4C54-A276-758CA0279022}" name="3" dataDxfId="78"/>
    <tableColumn id="5" xr3:uid="{A92B3580-2BC9-4F23-8156-67D90638EEEC}" name="4" dataDxfId="77"/>
    <tableColumn id="6" xr3:uid="{492339DC-E85E-45D6-A084-06932B54D24C}" name="5" dataDxfId="76"/>
    <tableColumn id="7" xr3:uid="{4727758E-73AF-403D-8DB0-8E02AFEE6FF1}" name="6" dataDxfId="75"/>
    <tableColumn id="8" xr3:uid="{C85C423C-44A1-426F-813C-EC95F848F00E}" name="7" dataDxfId="74"/>
    <tableColumn id="9" xr3:uid="{C960ACFE-7635-40BD-8D73-53A82EB2CEBD}" name="8" dataDxfId="73"/>
    <tableColumn id="10" xr3:uid="{9C2D59C9-E9FE-434D-BD17-04FA130E25EB}" name="9" dataDxfId="72"/>
    <tableColumn id="11" xr3:uid="{C7E54340-87EE-4606-91A3-5CD12E8D9E07}" name="10" dataDxfId="71"/>
    <tableColumn id="12" xr3:uid="{8F033321-07AF-40DE-892A-8EEC92428A42}" name="11" dataDxfId="70"/>
    <tableColumn id="13" xr3:uid="{82443A9F-461A-4DCA-B13C-8FD0C2207D3F}" name="12" dataDxfId="69"/>
    <tableColumn id="14" xr3:uid="{89C565FF-176C-4B34-8ED8-713D62F03117}" name="Total" dataDxfId="68">
      <calculatedColumnFormula>SUM(G278:R278)</calculatedColumnFormula>
    </tableColumn>
    <tableColumn id="15" xr3:uid="{2191D8F4-FC60-4330-8266-41CB056459FA}" name="Number of point scoring rounds" dataDxfId="67">
      <calculatedColumnFormula>COUNTIF(G278:R278,"&gt;1")</calculatedColumnFormula>
    </tableColumn>
    <tableColumn id="16" xr3:uid="{01FE8406-198A-4250-82EB-26F069756CC1}" name="Observed? Y or N" dataDxfId="66">
      <calculatedColumnFormula>Table15[[#This Row],[Total]]</calculatedColumnFormula>
    </tableColumn>
    <tableColumn id="17" xr3:uid="{C5CEA2A5-1AF6-4E86-B435-90D415600889}" name="Penalty Applied" dataDxfId="65">
      <calculatedColumnFormula>IF(Table15[[#This Row],[Observed? Y or N]]="N", "-20", "0")</calculatedColumnFormula>
    </tableColumn>
    <tableColumn id="18" xr3:uid="{4E1553A4-3A54-4004-B1AB-07631D108285}" name="Best 8 Rounds including penalty" dataDxfId="64">
      <calculatedColumnFormula>Table15[[#This Row],[Total]]+Table15[[#This Row],[Penalty Applied]]</calculatedColumnFormula>
    </tableColumn>
    <tableColumn id="19" xr3:uid="{800C24E8-0599-475B-9672-D3E997D15001}" name="Position" dataDxfId="63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180F626-3F49-452A-A077-FA12C17D1EE0}" name="Table16" displayName="Table16" ref="E299:X302" totalsRowShown="0" headerRowDxfId="62" tableBorderDxfId="61">
  <autoFilter ref="E299:X302" xr:uid="{E180F626-3F49-452A-A077-FA12C17D1EE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F300:X302">
    <sortCondition descending="1" ref="W300:W302"/>
  </sortState>
  <tableColumns count="20">
    <tableColumn id="20" xr3:uid="{1B055683-6BAF-4955-855D-5A0CD0FA3F84}" name="P67/Twinshock Blue" dataDxfId="60"/>
    <tableColumn id="1" xr3:uid="{78EF56A0-F745-4EA1-8B9F-9A7D63F72163}" name="Club" dataDxfId="59"/>
    <tableColumn id="2" xr3:uid="{780EABFE-7031-413F-B9FF-13532668F81E}" name="1" dataDxfId="58"/>
    <tableColumn id="3" xr3:uid="{B9BAF4E3-C87F-49E2-83AD-52E641D3DABD}" name="2" dataDxfId="57"/>
    <tableColumn id="4" xr3:uid="{463E9ED3-7A86-47B9-A75A-1463C59FBA6B}" name="3" dataDxfId="56"/>
    <tableColumn id="5" xr3:uid="{44C22427-EDB7-412F-A0A5-F2E8349F963E}" name="4" dataDxfId="55"/>
    <tableColumn id="6" xr3:uid="{69E61A8D-534E-46B6-BADA-6B19223C8D8F}" name="5" dataDxfId="54"/>
    <tableColumn id="7" xr3:uid="{3F15F299-C154-4442-8A86-41B3F8020017}" name="6" dataDxfId="53"/>
    <tableColumn id="8" xr3:uid="{11289D62-EDF2-4123-902C-1B88FB49C14C}" name="7" dataDxfId="52"/>
    <tableColumn id="9" xr3:uid="{E3FB66C0-F8A0-4CA4-9905-0E7F598549D3}" name="8" dataDxfId="51"/>
    <tableColumn id="10" xr3:uid="{A4BB8455-61C8-4FAF-8B0C-DA4DC5167162}" name="9" dataDxfId="50"/>
    <tableColumn id="11" xr3:uid="{19E88C17-23C4-4F2E-BE44-0D33973C6935}" name="10" dataDxfId="49"/>
    <tableColumn id="12" xr3:uid="{5F842364-871B-4BC7-9CE4-76187B400BF7}" name="11" dataDxfId="48"/>
    <tableColumn id="13" xr3:uid="{78211866-5885-4BA9-AD32-B5B41271DAC6}" name="12" dataDxfId="47"/>
    <tableColumn id="14" xr3:uid="{3AB2CADF-F9D8-4AD7-8C7D-28B73E405148}" name="Total" dataDxfId="46">
      <calculatedColumnFormula>SUM(Table16[[#This Row],[1]:[12]])</calculatedColumnFormula>
    </tableColumn>
    <tableColumn id="15" xr3:uid="{0D5371EB-D180-428F-B811-07C6591C98BC}" name="Number of point scoring rounds" dataDxfId="45">
      <calculatedColumnFormula>COUNTIF(G300:R300,"&gt;1")</calculatedColumnFormula>
    </tableColumn>
    <tableColumn id="16" xr3:uid="{98B6698C-1FF8-433E-9F90-7B1C96E8DC40}" name="Observed? Y or N" dataDxfId="44"/>
    <tableColumn id="17" xr3:uid="{44154E68-C258-4C41-8404-F93AE8B49660}" name="Penalty Applied" dataDxfId="43">
      <calculatedColumnFormula>IF(Table16[[#This Row],[Observed? Y or N]]="N", "-20", "0")</calculatedColumnFormula>
    </tableColumn>
    <tableColumn id="18" xr3:uid="{04DEF9A0-602F-4EC3-B9B5-FA19BA88F73C}" name="Best 8 Rounds including penalty" dataDxfId="42">
      <calculatedColumnFormula>Table16[[#This Row],[Total]]+Table16[[#This Row],[Penalty Applied]]</calculatedColumnFormula>
    </tableColumn>
    <tableColumn id="19" xr3:uid="{AC444089-2D3A-4713-B31E-19765CCE10B6}" name="Position" dataDxfId="4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771186-5C99-43FC-9A93-084BF5F6A6B0}" name="Table103" displayName="Table103" ref="E218:V222" headerRowCount="0" totalsRowShown="0" headerRowDxfId="40" dataDxfId="39" tableBorderDxfId="38">
  <tableColumns count="18">
    <tableColumn id="16" xr3:uid="{B404E002-B55E-4DDE-A6ED-25F6382F2414}" name="Column16" headerRowDxfId="37" dataDxfId="36"/>
    <tableColumn id="1" xr3:uid="{982CE3D3-77D9-444A-A253-188652442BF6}" name="Column1" headerRowDxfId="35" dataDxfId="34"/>
    <tableColumn id="2" xr3:uid="{DFB7C24D-0B0D-4101-888D-69AD590116EB}" name="Column2" headerRowDxfId="33" dataDxfId="32"/>
    <tableColumn id="3" xr3:uid="{47CD18B9-8568-480E-9AAE-EDEE4513CB3E}" name="Column3" headerRowDxfId="31" dataDxfId="30"/>
    <tableColumn id="4" xr3:uid="{FE3B01DD-6A4E-41A9-89D5-EACF8949B28A}" name="Column4" headerRowDxfId="29" dataDxfId="28"/>
    <tableColumn id="5" xr3:uid="{4C01BD26-94D0-46D7-9A11-209FF48DC745}" name="Column5" headerRowDxfId="27" dataDxfId="26"/>
    <tableColumn id="6" xr3:uid="{3DE80C04-A1C5-4635-9519-F20E90039BBB}" name="Column6" headerRowDxfId="25" dataDxfId="24"/>
    <tableColumn id="7" xr3:uid="{BC3C4FA0-E197-4E14-A610-9EF3FF078608}" name="Column7" headerRowDxfId="23" dataDxfId="22"/>
    <tableColumn id="8" xr3:uid="{4A03B578-32B3-4E77-86B4-E75A12F7F929}" name="Column8" headerRowDxfId="21" dataDxfId="20"/>
    <tableColumn id="9" xr3:uid="{5255F4DD-4768-4398-BCF6-66C2DB7D6D39}" name="Column9" headerRowDxfId="19" dataDxfId="18"/>
    <tableColumn id="10" xr3:uid="{47B4DA28-A1A8-45C8-B8DD-523768397B7C}" name="Column10" headerRowDxfId="17" dataDxfId="16"/>
    <tableColumn id="11" xr3:uid="{02C07BE8-968D-4729-AE5B-881770234162}" name="Column11" headerRowDxfId="15" dataDxfId="14"/>
    <tableColumn id="12" xr3:uid="{EBC655CE-7B5A-4C4E-8836-0AE6C61AF352}" name="Column12" headerRowDxfId="13" dataDxfId="12"/>
    <tableColumn id="13" xr3:uid="{87A06C8D-C98E-453F-B45A-0F4838D8E47B}" name="Column13" headerRowDxfId="11" dataDxfId="10"/>
    <tableColumn id="14" xr3:uid="{724BF5DD-57B6-45C6-AF4E-33E7B49FA9B7}" name="Column14" headerRowDxfId="9" dataDxfId="8">
      <calculatedColumnFormula>SUM(Table103[[#This Row],[Column2]:[Column13]])</calculatedColumnFormula>
    </tableColumn>
    <tableColumn id="15" xr3:uid="{25CEC10C-3484-4A8D-9F23-211A9D57C895}" name="Column15" headerRowDxfId="7" dataDxfId="6">
      <calculatedColumnFormula>COUNTIF(G218:R218,"&gt;1")</calculatedColumnFormula>
    </tableColumn>
    <tableColumn id="18" xr3:uid="{CF44D5C5-806D-4A45-BF04-A7C8522619FC}" name="Column18" headerRowDxfId="5" dataDxfId="4"/>
    <tableColumn id="19" xr3:uid="{8973F996-4ADA-4832-A8B6-8EAE2050E0D9}" name="Column19" headerRowDxfId="3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0B69DE-51D5-44D3-9292-CBB6C897E1D0}" name="Table3" displayName="Table3" ref="E29:X44" totalsRowShown="0" headerRowDxfId="357" dataDxfId="356" tableBorderDxfId="355">
  <autoFilter ref="E29:X44" xr:uid="{D60B69DE-51D5-44D3-9292-CBB6C897E1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30:X44">
    <sortCondition descending="1" ref="W30:W44"/>
  </sortState>
  <tableColumns count="20">
    <tableColumn id="20" xr3:uid="{D75D0609-A50E-427D-BFBF-5421A43D45DF}" name="Expert B" dataDxfId="354"/>
    <tableColumn id="1" xr3:uid="{F2F20358-7FE6-4B3F-8A13-3205F9AB285E}" name="Club" dataDxfId="353"/>
    <tableColumn id="2" xr3:uid="{AF51933E-1256-499E-ABE9-71B14F1158AE}" name="1" dataDxfId="352"/>
    <tableColumn id="3" xr3:uid="{018F2295-2E1F-448D-89B5-63972520F637}" name="2" dataDxfId="351"/>
    <tableColumn id="4" xr3:uid="{3AE21C6E-EFAB-4419-B01F-4FCE1AC81B1D}" name="3" dataDxfId="350"/>
    <tableColumn id="5" xr3:uid="{FDA120F6-26BD-4F69-BB4E-E66C38DE702A}" name="4" dataDxfId="349"/>
    <tableColumn id="6" xr3:uid="{719D8119-F8A2-4E9F-90C1-C61541E3E787}" name="5" dataDxfId="348"/>
    <tableColumn id="7" xr3:uid="{1843FC34-BAE6-46B5-8B70-4E7C0FE67FCB}" name="6" dataDxfId="347"/>
    <tableColumn id="8" xr3:uid="{6C269700-C6BE-4739-9E63-C27B96A10A58}" name="7" dataDxfId="346"/>
    <tableColumn id="9" xr3:uid="{9021E0A0-742D-44BD-A542-E7C4D32F1A6A}" name="8" dataDxfId="345"/>
    <tableColumn id="10" xr3:uid="{2B6FEC4C-0C45-4414-8F3C-B3BDA6EA3A26}" name="9" dataDxfId="344"/>
    <tableColumn id="11" xr3:uid="{9EF6096C-45A6-4EC5-A361-6FFB9ACF2E4C}" name="10" dataDxfId="343"/>
    <tableColumn id="12" xr3:uid="{FCC74548-2F10-4F50-8BFC-AE12ACC76E29}" name="11" dataDxfId="342"/>
    <tableColumn id="13" xr3:uid="{CD58A271-C5CE-43E7-9083-EFFC0314D3CF}" name="12" dataDxfId="341"/>
    <tableColumn id="14" xr3:uid="{9BC7C2B2-7C39-46B2-AB6B-D8F59CD230DB}" name="Total" dataDxfId="340">
      <calculatedColumnFormula>SUM(Table3[[#This Row],[1]:[12]])</calculatedColumnFormula>
    </tableColumn>
    <tableColumn id="15" xr3:uid="{03FFA3F9-55D5-4B0E-AEC5-8A455EE3F8AB}" name="Number of point scoring rounds" dataDxfId="339">
      <calculatedColumnFormula>COUNTIF(G30:R30,"&gt;1")</calculatedColumnFormula>
    </tableColumn>
    <tableColumn id="16" xr3:uid="{73468A6A-E1BD-4D8B-909A-1014AF5B9D90}" name="Observed? Y or N" dataDxfId="338">
      <calculatedColumnFormula>Table3[[#This Row],[Total]]</calculatedColumnFormula>
    </tableColumn>
    <tableColumn id="17" xr3:uid="{B16573A2-30A9-48FB-B216-8E793E012FE6}" name="Penalty Applied" dataDxfId="337">
      <calculatedColumnFormula>IF(Table3[[#This Row],[Observed? Y or N]]="N", "-20", "0")</calculatedColumnFormula>
    </tableColumn>
    <tableColumn id="18" xr3:uid="{A3F01266-C5C7-48F1-9715-EA46D9B6B9B2}" name="Best 8 Rounds including penalty" dataDxfId="336">
      <calculatedColumnFormula>Table3[[#This Row],[Total]]+Table3[[#This Row],[Penalty Applied]]</calculatedColumnFormula>
    </tableColumn>
    <tableColumn id="19" xr3:uid="{83D55528-62F5-43A9-A40A-B7A2E2C958ED}" name="Position" dataDxfId="33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39F616-76D2-4A92-8260-837BC38C21E5}" name="Table4" displayName="Table4" ref="E47:X75" totalsRowShown="0" headerRowDxfId="334" tableBorderDxfId="333">
  <autoFilter ref="E47:X75" xr:uid="{4C39F616-76D2-4A92-8260-837BC38C21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48:X75">
    <sortCondition descending="1" ref="W48:W75"/>
  </sortState>
  <tableColumns count="20">
    <tableColumn id="20" xr3:uid="{7E397A00-864A-43C1-8214-BD6A54721A53}" name="Intermediate" dataDxfId="332"/>
    <tableColumn id="1" xr3:uid="{E06EFF3B-E4B4-40B2-84D0-E2017EC2124D}" name="Club" dataDxfId="331"/>
    <tableColumn id="2" xr3:uid="{6316842D-A49F-4756-8A13-52CB3F4DCCBB}" name="1" dataDxfId="330"/>
    <tableColumn id="3" xr3:uid="{3CB01A5E-80F7-4D79-99A9-AD7D33F6CD57}" name="2" dataDxfId="329"/>
    <tableColumn id="4" xr3:uid="{C842B246-8F42-40C2-AD06-3D60FE494575}" name="3" dataDxfId="328"/>
    <tableColumn id="5" xr3:uid="{CC698B1C-84ED-465E-80CD-6C3CA7E29F7A}" name="4" dataDxfId="327"/>
    <tableColumn id="6" xr3:uid="{60901085-11E7-4806-9A32-32964E9316B7}" name="5" dataDxfId="326"/>
    <tableColumn id="7" xr3:uid="{7E120896-A95D-4BB3-8EC4-BA482712F9DC}" name="6" dataDxfId="325"/>
    <tableColumn id="8" xr3:uid="{55AADFE2-F6C2-4715-B602-B0D43B0BBAFB}" name="7" dataDxfId="324"/>
    <tableColumn id="9" xr3:uid="{D46F29C5-F4BD-440F-BEB8-432542DF47AE}" name="8" dataDxfId="323"/>
    <tableColumn id="10" xr3:uid="{418DBB19-50E9-4502-BD6E-D3C64705C21B}" name="9" dataDxfId="322"/>
    <tableColumn id="11" xr3:uid="{5AC5ED3F-0E03-4F79-B429-5EF49C0AC28B}" name="10" dataDxfId="321"/>
    <tableColumn id="12" xr3:uid="{9121F485-6342-41A1-904C-5283D717AA47}" name="11" dataDxfId="320"/>
    <tableColumn id="13" xr3:uid="{A7F3A465-AF11-4425-AB36-E4110D52EDAE}" name="12" dataDxfId="319"/>
    <tableColumn id="14" xr3:uid="{558FC9EC-6C3A-4EC1-8A8B-78DE445E63FC}" name="Total" dataDxfId="318">
      <calculatedColumnFormula>SUM(Table4[[#This Row],[1]:[12]])</calculatedColumnFormula>
    </tableColumn>
    <tableColumn id="15" xr3:uid="{A5053DC8-FAA6-43DE-A543-5189D9600AA1}" name="Number of point scoring rounds" dataDxfId="317">
      <calculatedColumnFormula>COUNTIF(G48:R48,"&gt;1")</calculatedColumnFormula>
    </tableColumn>
    <tableColumn id="16" xr3:uid="{BEEADA64-C0D7-40C1-A5DC-6E3D08CE6870}" name="Observed? Y or N" dataDxfId="316">
      <calculatedColumnFormula>Table4[[#This Row],[Total]]</calculatedColumnFormula>
    </tableColumn>
    <tableColumn id="17" xr3:uid="{9AFBE952-CB1D-451B-A5F6-E49490DB5844}" name="Penalty Applied" dataDxfId="315">
      <calculatedColumnFormula>IF(Table4[[#This Row],[Observed? Y or N]]="N", "-20", "0")</calculatedColumnFormula>
    </tableColumn>
    <tableColumn id="18" xr3:uid="{3CB1761B-12F5-429D-A5AB-2F236850FAD2}" name="Best 8 Rounds including penalty" dataDxfId="314">
      <calculatedColumnFormula>Table4[[#This Row],[Total]]+Table4[[#This Row],[Penalty Applied]]</calculatedColumnFormula>
    </tableColumn>
    <tableColumn id="19" xr3:uid="{D65AFE9C-6ECF-4CFB-B9EA-25013DC818C1}" name="Position" dataDxfId="31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CD7567-05B3-412E-916F-460D36036F8C}" name="Table5" displayName="Table5" ref="E78:X99" totalsRowShown="0" headerRowDxfId="312" dataDxfId="311" tableBorderDxfId="310">
  <autoFilter ref="E78:X99" xr:uid="{7BCD7567-05B3-412E-916F-460D36036F8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79:X99">
    <sortCondition descending="1" ref="W79:W99"/>
  </sortState>
  <tableColumns count="20">
    <tableColumn id="20" xr3:uid="{25E409CC-A913-422F-A43C-DF30290F3850}" name="Over 40 Inter" dataDxfId="309"/>
    <tableColumn id="1" xr3:uid="{55ABBA7C-3694-4F9F-8843-C0011F43D024}" name="Club" dataDxfId="308"/>
    <tableColumn id="2" xr3:uid="{2D141765-F836-4E86-AAEA-A3BBB7135DC8}" name="1" dataDxfId="307"/>
    <tableColumn id="3" xr3:uid="{AFBF8016-6C16-4BDA-B4A1-5BB2D5AB6824}" name="2" dataDxfId="306"/>
    <tableColumn id="4" xr3:uid="{60A4EF72-CA56-4CC4-8F5A-4DCABDA83921}" name="3" dataDxfId="305"/>
    <tableColumn id="5" xr3:uid="{CAE21A5F-13EB-42DC-B4AB-59616BDD795D}" name="4" dataDxfId="304"/>
    <tableColumn id="6" xr3:uid="{B2F3B40E-CEE2-45B0-A1F1-2DE969D140EF}" name="5" dataDxfId="303"/>
    <tableColumn id="7" xr3:uid="{80F20090-89FA-4EA1-BCF7-C619F05694CC}" name="6" dataDxfId="302"/>
    <tableColumn id="8" xr3:uid="{B5008A89-D620-47DC-B7BA-BFB4E2578458}" name="7" dataDxfId="301"/>
    <tableColumn id="9" xr3:uid="{8537B357-8FFD-4166-BCA3-51A44B721E00}" name="8" dataDxfId="300"/>
    <tableColumn id="10" xr3:uid="{01F45E09-3A8E-4E10-9B5B-78B42ED13D9A}" name="9" dataDxfId="299"/>
    <tableColumn id="11" xr3:uid="{61E05F06-ECB6-40C7-971D-CF3855A3FC7D}" name="10" dataDxfId="298"/>
    <tableColumn id="12" xr3:uid="{FEEA7212-AD1B-4FBD-B229-D0BB4D0A3431}" name="11" dataDxfId="297"/>
    <tableColumn id="13" xr3:uid="{9DF47A9E-5C47-4DCB-B8D2-BE838F1579F1}" name="12" dataDxfId="296"/>
    <tableColumn id="14" xr3:uid="{111254B0-C548-44A0-93F2-F3B361D77A88}" name="Total" dataDxfId="295">
      <calculatedColumnFormula>SUM(G79:R79)</calculatedColumnFormula>
    </tableColumn>
    <tableColumn id="15" xr3:uid="{8A9AF9C9-D2CB-4FA5-AEEE-5871DD52BC76}" name="Number of point scoring rounds" dataDxfId="294">
      <calculatedColumnFormula>COUNTIF(G79:R79,"&gt;1")</calculatedColumnFormula>
    </tableColumn>
    <tableColumn id="16" xr3:uid="{72F393EF-A60E-4913-BB63-71615DF6B4F0}" name="Observed? Y or N" dataDxfId="293">
      <calculatedColumnFormula>Table5[[#This Row],[Total]]</calculatedColumnFormula>
    </tableColumn>
    <tableColumn id="17" xr3:uid="{B0D2049A-F818-4136-9614-D3EB18724654}" name="Penalty Applied" dataDxfId="292">
      <calculatedColumnFormula>IF(Table5[[#This Row],[Observed? Y or N]]="N", "-20", "0")</calculatedColumnFormula>
    </tableColumn>
    <tableColumn id="18" xr3:uid="{0AAC2A12-5E4E-4D74-A3E6-5085E1645307}" name="Best 8 Rounds including penalty" dataDxfId="291">
      <calculatedColumnFormula>Table5[[#This Row],[Total]]+Table5[[#This Row],[Penalty Applied]]</calculatedColumnFormula>
    </tableColumn>
    <tableColumn id="19" xr3:uid="{5272BA52-1C00-4AFD-92FD-286880FB64C5}" name="Position" dataDxfId="29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7E38203-7D68-442C-8040-670C989CAAEE}" name="Table6" displayName="Table6" ref="E102:X123" totalsRowShown="0" headerRowDxfId="289" dataDxfId="288" tableBorderDxfId="287">
  <autoFilter ref="E102:X123" xr:uid="{57E38203-7D68-442C-8040-670C989CAAE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103:X123">
    <sortCondition descending="1" ref="W103:W123"/>
  </sortState>
  <tableColumns count="20">
    <tableColumn id="20" xr3:uid="{E9F235E4-FF09-4C86-96A0-83623A1A6C64}" name="Inter B" dataDxfId="286"/>
    <tableColumn id="1" xr3:uid="{4B581689-CFEB-434C-9E7A-A54930C7F60C}" name="Club" dataDxfId="285"/>
    <tableColumn id="2" xr3:uid="{B6B59AB2-8EBB-4120-97C9-1842F4BDCF58}" name="1" dataDxfId="284"/>
    <tableColumn id="3" xr3:uid="{A0765D1C-E0EF-402A-839D-3965C43C4F9D}" name="2" dataDxfId="283"/>
    <tableColumn id="4" xr3:uid="{DC60A9A9-F7C4-4431-B499-DB259E25980B}" name="3" dataDxfId="282"/>
    <tableColumn id="5" xr3:uid="{C0F18A2F-7641-4D69-ACB4-98FE48C1161D}" name="4" dataDxfId="281"/>
    <tableColumn id="6" xr3:uid="{922990F2-020D-4206-BB56-7BEA7D985396}" name="5" dataDxfId="280"/>
    <tableColumn id="7" xr3:uid="{6E914DCA-9C46-4F0C-9C61-FD051C7BC706}" name="6" dataDxfId="279"/>
    <tableColumn id="8" xr3:uid="{FF7DB0EC-0757-4C45-8EF0-9894A0EC4808}" name="7" dataDxfId="278"/>
    <tableColumn id="9" xr3:uid="{08263561-A7C1-479C-B1D3-F778D40748C6}" name="8" dataDxfId="277"/>
    <tableColumn id="10" xr3:uid="{1AB4EBAA-726F-4492-B6A3-33DC610E0312}" name="9" dataDxfId="276"/>
    <tableColumn id="11" xr3:uid="{828ABC9E-3B5E-417C-BBC6-DE949D54E7D1}" name="10" dataDxfId="275"/>
    <tableColumn id="12" xr3:uid="{03AA7E19-D083-423B-80EC-2151240C1DC7}" name="11" dataDxfId="274"/>
    <tableColumn id="13" xr3:uid="{B08C8DBF-700B-49B8-B672-0FC1A784D9A4}" name="12" dataDxfId="273"/>
    <tableColumn id="14" xr3:uid="{5A281001-0EBF-4FEF-8CF2-B944D343D545}" name="Total" dataDxfId="272">
      <calculatedColumnFormula>SUM(Table6[[#This Row],[1]:[12]])</calculatedColumnFormula>
    </tableColumn>
    <tableColumn id="15" xr3:uid="{D39E922C-84F6-4916-974E-D8761A7EFEC3}" name="Number of point scoring rounds" dataDxfId="271">
      <calculatedColumnFormula>COUNTIF(G103:R103,"&gt;1")</calculatedColumnFormula>
    </tableColumn>
    <tableColumn id="16" xr3:uid="{30ABF846-0C72-4473-ABB4-DC758C34DD6D}" name="Observed? Y or N" dataDxfId="270">
      <calculatedColumnFormula>Table6[[#This Row],[Total]]</calculatedColumnFormula>
    </tableColumn>
    <tableColumn id="17" xr3:uid="{5550A32D-D58B-46C0-9B7E-FDD2AF1C52B1}" name="Penalty Applied" dataDxfId="269">
      <calculatedColumnFormula>IF(Table6[[#This Row],[Observed? Y or N]]="N", "-20", "0")</calculatedColumnFormula>
    </tableColumn>
    <tableColumn id="18" xr3:uid="{C4638D49-E9BC-4ED4-9C20-C5E551200AD1}" name="Best 8 Rounds including penalty" dataDxfId="268">
      <calculatedColumnFormula>Table6[[#This Row],[Total]]+Table6[[#This Row],[Penalty Applied]]</calculatedColumnFormula>
    </tableColumn>
    <tableColumn id="19" xr3:uid="{FAE5AD2A-884C-4F92-B121-C6391AEBA9AE}" name="Position" dataDxfId="26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7AD7363-689A-425B-8A2E-2F2DF75DE052}" name="Table7" displayName="Table7" ref="E126:X157" totalsRowShown="0" headerRowDxfId="266" dataDxfId="265" tableBorderDxfId="264">
  <autoFilter ref="E126:X157" xr:uid="{37AD7363-689A-425B-8A2E-2F2DF75DE05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127:X157">
    <sortCondition descending="1" ref="W127:W157"/>
  </sortState>
  <tableColumns count="20">
    <tableColumn id="20" xr3:uid="{015098CB-1E93-405E-848E-4555BF37D115}" name="Novice" dataDxfId="263"/>
    <tableColumn id="1" xr3:uid="{39D7C143-896D-45B0-8196-95AD05867E1A}" name="Club" dataDxfId="262"/>
    <tableColumn id="2" xr3:uid="{3F15E01C-CDB1-464E-A6B8-6609FE45C91D}" name="1" dataDxfId="261"/>
    <tableColumn id="3" xr3:uid="{A26B978A-EBA2-4BCE-95E1-F5992CAEE614}" name="2" dataDxfId="260"/>
    <tableColumn id="4" xr3:uid="{2D7387C3-E929-4E38-99AC-1B7BABCBFA46}" name="3" dataDxfId="259"/>
    <tableColumn id="5" xr3:uid="{C0D5C5A1-AA45-4314-A99A-2D6A0633524B}" name="4" dataDxfId="258"/>
    <tableColumn id="6" xr3:uid="{002C1FEA-3B6E-4756-A314-F99A903A92AA}" name="5" dataDxfId="257"/>
    <tableColumn id="7" xr3:uid="{6B4879F6-AA83-474E-8082-DF40B8E8C574}" name="6" dataDxfId="256"/>
    <tableColumn id="8" xr3:uid="{8A5586A1-C36C-4BE1-BA0A-C956EA7780D9}" name="7" dataDxfId="255"/>
    <tableColumn id="9" xr3:uid="{576995B9-C333-4863-A4AD-07E967DEB442}" name="8" dataDxfId="254"/>
    <tableColumn id="10" xr3:uid="{099BFCF6-08D3-4B4A-A298-750D357FAE26}" name="9" dataDxfId="253"/>
    <tableColumn id="11" xr3:uid="{462F6519-EDDB-495B-867D-56A13FB70FD2}" name="10" dataDxfId="252"/>
    <tableColumn id="12" xr3:uid="{06085AB8-D064-46E5-AC44-E9C5282ABB6C}" name="11" dataDxfId="251"/>
    <tableColumn id="13" xr3:uid="{AE3FD0D3-7E1B-41EA-9BAD-AFD4D78A36FB}" name="12" dataDxfId="250"/>
    <tableColumn id="14" xr3:uid="{07AC5C91-6EA9-4A3F-9064-4C0032C4AC4E}" name="Total" dataDxfId="249">
      <calculatedColumnFormula>SUM(Table7[[#This Row],[1]:[12]])</calculatedColumnFormula>
    </tableColumn>
    <tableColumn id="15" xr3:uid="{B954C269-A000-4210-B3B0-9FFCE7C1EDB0}" name="Number of point scoring rounds" dataDxfId="248">
      <calculatedColumnFormula>COUNTIF(G127:R127,"&gt;1")</calculatedColumnFormula>
    </tableColumn>
    <tableColumn id="16" xr3:uid="{717C92A8-4330-4AFE-B675-8B76AD565EA6}" name="Observed? Y or N" dataDxfId="247">
      <calculatedColumnFormula>Table7[[#This Row],[Total]]</calculatedColumnFormula>
    </tableColumn>
    <tableColumn id="17" xr3:uid="{BE326B3C-4209-47E6-B34D-95F243EF8B4A}" name="Penalty Applied" dataDxfId="246">
      <calculatedColumnFormula>IF(Table7[[#This Row],[Observed? Y or N]]="N", "-20", "0")</calculatedColumnFormula>
    </tableColumn>
    <tableColumn id="18" xr3:uid="{08FC9F11-883F-402B-ACFF-7AFF4B084D3D}" name="Best 8 Rounds including penalty" dataDxfId="245">
      <calculatedColumnFormula>Table7[[#This Row],[Total]]+Table7[[#This Row],[Penalty Applied]]</calculatedColumnFormula>
    </tableColumn>
    <tableColumn id="19" xr3:uid="{50FB804B-99F5-4E2D-BE20-FF4B0FFB496A}" name="Position" dataDxfId="24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2A38C1B-59D4-4AF9-BA9A-14FB876052B3}" name="Table8" displayName="Table8" ref="E160:X187" totalsRowShown="0" headerRowDxfId="243" dataDxfId="242" tableBorderDxfId="241">
  <autoFilter ref="E160:X187" xr:uid="{22A38C1B-59D4-4AF9-BA9A-14FB876052B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161:X187">
    <sortCondition descending="1" ref="W161:W187"/>
  </sortState>
  <tableColumns count="20">
    <tableColumn id="20" xr3:uid="{1E4A2DB1-058E-459F-A555-0D6EBF80E190}" name="Over 50 Novice" dataDxfId="240"/>
    <tableColumn id="1" xr3:uid="{36CE43B4-89CE-4560-8BC6-6F1E8AE90906}" name="Club" dataDxfId="239"/>
    <tableColumn id="2" xr3:uid="{63E51872-719F-42E8-8F38-A4AFD77CCD07}" name="1" dataDxfId="238"/>
    <tableColumn id="3" xr3:uid="{5DC4EADF-D0C7-4D12-B62F-865EE46A9CF2}" name="2" dataDxfId="237"/>
    <tableColumn id="4" xr3:uid="{86785627-9855-42B3-9CFE-6F42B09E5FD8}" name="3" dataDxfId="236"/>
    <tableColumn id="5" xr3:uid="{11DD88DD-F301-4735-9EEA-5AF52451F223}" name="4" dataDxfId="235"/>
    <tableColumn id="6" xr3:uid="{D9A23475-8922-4327-9744-0EDE6271A6D3}" name="5" dataDxfId="234"/>
    <tableColumn id="7" xr3:uid="{CBD7B40A-C776-4F0D-8F4A-58408787E1EB}" name="6" dataDxfId="233"/>
    <tableColumn id="8" xr3:uid="{3B6D360E-654D-43EE-BE53-A95AB96B0F31}" name="7" dataDxfId="232"/>
    <tableColumn id="9" xr3:uid="{3EA16F86-4014-4C52-B11A-C4D5FE40D703}" name="8" dataDxfId="231"/>
    <tableColumn id="10" xr3:uid="{0DFC0611-AAC3-4978-9D7A-6877B1C6049F}" name="9" dataDxfId="230"/>
    <tableColumn id="11" xr3:uid="{344C0867-E725-4FCF-8E98-1EF68578B355}" name="10" dataDxfId="229"/>
    <tableColumn id="12" xr3:uid="{CFD0CE6B-4A04-464B-B3A5-31D99DB9A7B7}" name="11" dataDxfId="228"/>
    <tableColumn id="13" xr3:uid="{49CF1F14-F799-45EE-BC5E-1BC7010A7CEB}" name="12" dataDxfId="227"/>
    <tableColumn id="14" xr3:uid="{187D87A0-4CEB-47BF-B720-5D10A3514349}" name="Total" dataDxfId="226">
      <calculatedColumnFormula>SUM(Table8[[#This Row],[1]:[12]])</calculatedColumnFormula>
    </tableColumn>
    <tableColumn id="15" xr3:uid="{1F373D4E-BFA3-4DAB-8A9F-3CDB3F4153BE}" name="Number of point scoring rounds" dataDxfId="225">
      <calculatedColumnFormula>COUNTIF(G161:R161,"&gt;1")</calculatedColumnFormula>
    </tableColumn>
    <tableColumn id="16" xr3:uid="{67ED1601-CF5F-447E-AF77-2BD762CEA2ED}" name="Observed? Y or N" dataDxfId="224">
      <calculatedColumnFormula>Table8[[#This Row],[Total]]</calculatedColumnFormula>
    </tableColumn>
    <tableColumn id="17" xr3:uid="{126625CF-0A73-4F54-8B46-4E39CD211A39}" name="Penalty Applied" dataDxfId="223">
      <calculatedColumnFormula>IF(Table8[[#This Row],[Observed? Y or N]]="N", "-20", "0")</calculatedColumnFormula>
    </tableColumn>
    <tableColumn id="18" xr3:uid="{91D95381-E4C9-4F7A-8AA7-C4C4F35CC152}" name="Best 8 Rounds including penalty" dataDxfId="222">
      <calculatedColumnFormula>Table8[[#This Row],[Total]]+Table8[[#This Row],[Penalty Applied]]</calculatedColumnFormula>
    </tableColumn>
    <tableColumn id="19" xr3:uid="{A10B3D07-4BCC-4323-84E1-30B1B4C3B190}" name="Position" dataDxfId="22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73B8706-03A1-44DE-AD55-F4ECAB610C67}" name="Table9" displayName="Table9" ref="E190:X207" totalsRowShown="0" headerRowDxfId="220" dataDxfId="219" tableBorderDxfId="218">
  <autoFilter ref="E190:X207" xr:uid="{773B8706-03A1-44DE-AD55-F4ECAB610C6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191:X207">
    <sortCondition descending="1" ref="W191:W207"/>
  </sortState>
  <tableColumns count="20">
    <tableColumn id="20" xr3:uid="{7A5E564B-3ADC-456D-8EFF-3173A803989E}" name="Sportsperson Route" dataDxfId="217"/>
    <tableColumn id="1" xr3:uid="{A048815E-EA06-44CA-896D-D564111DDB4A}" name="Club" dataDxfId="216"/>
    <tableColumn id="2" xr3:uid="{3E0B6DD3-C4A6-47CA-97A7-D64780CC14DE}" name="1" dataDxfId="215"/>
    <tableColumn id="3" xr3:uid="{3C55A335-60D4-482B-93B0-0EBCFF103E94}" name="2" dataDxfId="214"/>
    <tableColumn id="4" xr3:uid="{C15B6394-4CE2-405D-8310-A3A15A32D1B5}" name="3" dataDxfId="213"/>
    <tableColumn id="5" xr3:uid="{079A9451-EDFE-46BE-94A2-796B859C7CA3}" name="4" dataDxfId="212"/>
    <tableColumn id="6" xr3:uid="{F87761DD-CBF4-4650-8390-F1869631264B}" name="5" dataDxfId="211"/>
    <tableColumn id="7" xr3:uid="{A6F96CF3-A29A-4FC6-8B00-4D3C119A12F0}" name="6" dataDxfId="210"/>
    <tableColumn id="8" xr3:uid="{D0785C99-9F59-4B35-8B95-7C13B41B710E}" name="7" dataDxfId="209"/>
    <tableColumn id="9" xr3:uid="{3E569786-68D0-478B-82B3-0E71A72846CA}" name="8" dataDxfId="208"/>
    <tableColumn id="10" xr3:uid="{1456778C-8EAA-4ABE-BD0D-AFB617FC1392}" name="9" dataDxfId="207"/>
    <tableColumn id="11" xr3:uid="{823A5ED3-9020-4EF4-AE01-A20347337BCD}" name="10" dataDxfId="206"/>
    <tableColumn id="12" xr3:uid="{58638BAA-1F47-4394-91F8-32BA75AAC465}" name="11" dataDxfId="205"/>
    <tableColumn id="13" xr3:uid="{4BE7205C-FAC8-4DA1-AAD1-649A85761621}" name="12" dataDxfId="204"/>
    <tableColumn id="14" xr3:uid="{BA2141B5-795F-49FE-B15A-715606B71C34}" name="Total" dataDxfId="203">
      <calculatedColumnFormula>SUM(G191:R191)</calculatedColumnFormula>
    </tableColumn>
    <tableColumn id="15" xr3:uid="{F72AA8EE-9AFA-4756-B74C-9270ACB2E847}" name="Number of point scoring rounds" dataDxfId="202">
      <calculatedColumnFormula>COUNTIF(G191:R191,"&gt;1")</calculatedColumnFormula>
    </tableColumn>
    <tableColumn id="16" xr3:uid="{750FD833-5291-4A09-99B2-33195777ADB7}" name="Observed? Y or N" dataDxfId="201">
      <calculatedColumnFormula>Table9[[#This Row],[Total]]</calculatedColumnFormula>
    </tableColumn>
    <tableColumn id="17" xr3:uid="{88D0457B-7F7F-4CE6-9D32-EDA936BEF219}" name="Penalty Applied" dataDxfId="200">
      <calculatedColumnFormula>IF(Table9[[#This Row],[Observed? Y or N]]="N", "-20", "0")</calculatedColumnFormula>
    </tableColumn>
    <tableColumn id="18" xr3:uid="{B82BEC48-F007-4CF1-AC71-1F35CAF6B408}" name="Best 8 Rounds including penalty" dataDxfId="199">
      <calculatedColumnFormula>Table9[[#This Row],[Total]]+Table9[[#This Row],[Penalty Applied]]</calculatedColumnFormula>
    </tableColumn>
    <tableColumn id="19" xr3:uid="{AB8957A8-90BD-4824-BA69-0AF2AAC65BD4}" name="Position" dataDxfId="19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B42F160-936A-4FFF-9710-FE7A7C880370}" name="Table10" displayName="Table10" ref="E211:V216" totalsRowShown="0" headerRowDxfId="197" dataDxfId="196" tableBorderDxfId="195">
  <autoFilter ref="E211:V216" xr:uid="{0B42F160-936A-4FFF-9710-FE7A7C88037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sortState xmlns:xlrd2="http://schemas.microsoft.com/office/spreadsheetml/2017/richdata2" ref="E212:V216">
    <sortCondition descending="1" ref="U212:U216"/>
  </sortState>
  <tableColumns count="18">
    <tableColumn id="20" xr3:uid="{3972DBA7-7C90-406F-803B-A4A91F0EE0A1}" name="Youth Inter" dataDxfId="194"/>
    <tableColumn id="1" xr3:uid="{5EB238DD-CC4D-4B28-90D0-5E40F8E0AB96}" name="Club" dataDxfId="193"/>
    <tableColumn id="2" xr3:uid="{DA52D91C-BA9E-41C4-8E0B-707B3FA3DFFD}" name="1" dataDxfId="192"/>
    <tableColumn id="3" xr3:uid="{8BD2707B-1599-4AB4-89C9-1C9B1997E391}" name="2" dataDxfId="191"/>
    <tableColumn id="4" xr3:uid="{44018FF1-D664-4717-AEAA-80846D8EB46D}" name="3" dataDxfId="190"/>
    <tableColumn id="5" xr3:uid="{03115229-F690-4D04-BF5A-7729D2F4E519}" name="4" dataDxfId="189"/>
    <tableColumn id="6" xr3:uid="{DAA4DFB5-382E-4ED7-880B-8863A5F31078}" name="5" dataDxfId="188"/>
    <tableColumn id="7" xr3:uid="{F6103668-4993-4606-BFDC-DBB4C7811A97}" name="6" dataDxfId="187"/>
    <tableColumn id="8" xr3:uid="{1880D148-8E6E-4C52-8EC5-234AD8BF1938}" name="7" dataDxfId="186"/>
    <tableColumn id="9" xr3:uid="{03E8B2EF-985B-414F-9E3A-6850C6C63E9D}" name="8" dataDxfId="185"/>
    <tableColumn id="10" xr3:uid="{C201CFD5-6850-4C69-8CC7-442877B84EC0}" name="9" dataDxfId="184"/>
    <tableColumn id="11" xr3:uid="{1E8AEF9E-F9DF-440F-853F-E966FA438FFB}" name="10" dataDxfId="183"/>
    <tableColumn id="12" xr3:uid="{749A3B74-B320-4DF1-A061-BCF0D87309FD}" name="11" dataDxfId="182"/>
    <tableColumn id="13" xr3:uid="{D8D086D6-201A-44B5-84C6-75EB035296E7}" name="12" dataDxfId="181"/>
    <tableColumn id="14" xr3:uid="{D680920C-1CAB-42DD-8223-D35F77C3E622}" name="Total" dataDxfId="180">
      <calculatedColumnFormula>SUM(Table10[[#This Row],[1]:[12]])</calculatedColumnFormula>
    </tableColumn>
    <tableColumn id="15" xr3:uid="{30B72E62-893D-48F6-9056-A75D4D49E0DC}" name="Number of point scoring rounds" dataDxfId="179">
      <calculatedColumnFormula>COUNTIF(G212:R212,"&gt;1")</calculatedColumnFormula>
    </tableColumn>
    <tableColumn id="18" xr3:uid="{23A075EA-2D6C-4F6E-ADDB-94C6636DF690}" name="Best 8 Rounds including penalty" dataDxfId="178">
      <calculatedColumnFormula>Table10[[#This Row],[Total]]</calculatedColumnFormula>
    </tableColumn>
    <tableColumn id="19" xr3:uid="{466554AF-5B10-409B-9E4D-767EF5D8830D}" name="Position" dataDxfId="17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982C-DA6E-4D60-A40A-C87F9C056071}">
  <sheetPr>
    <pageSetUpPr fitToPage="1"/>
  </sheetPr>
  <dimension ref="A2:Z302"/>
  <sheetViews>
    <sheetView tabSelected="1" topLeftCell="A47" zoomScaleNormal="100" workbookViewId="0">
      <selection activeCell="W52" sqref="W52"/>
    </sheetView>
  </sheetViews>
  <sheetFormatPr defaultRowHeight="14.4" x14ac:dyDescent="0.3"/>
  <cols>
    <col min="5" max="5" width="18.44140625" bestFit="1" customWidth="1"/>
    <col min="6" max="6" width="9.33203125" customWidth="1"/>
    <col min="7" max="21" width="4.77734375" customWidth="1"/>
    <col min="22" max="22" width="4.109375" bestFit="1" customWidth="1"/>
    <col min="25" max="25" width="27" customWidth="1"/>
  </cols>
  <sheetData>
    <row r="2" spans="1:24" x14ac:dyDescent="0.3">
      <c r="E2" s="160" t="s">
        <v>134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</row>
    <row r="3" spans="1:24" x14ac:dyDescent="0.3"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</row>
    <row r="4" spans="1:24" x14ac:dyDescent="0.3"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</row>
    <row r="5" spans="1:24" x14ac:dyDescent="0.3"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</row>
    <row r="6" spans="1:24" ht="15" thickBot="1" x14ac:dyDescent="0.35">
      <c r="R6" s="161" t="s">
        <v>44</v>
      </c>
      <c r="S6" s="161"/>
      <c r="T6" s="161"/>
      <c r="U6" s="161"/>
    </row>
    <row r="7" spans="1:24" ht="64.2" thickBot="1" x14ac:dyDescent="0.35">
      <c r="G7" s="149" t="s">
        <v>19</v>
      </c>
      <c r="H7" s="88" t="s">
        <v>135</v>
      </c>
      <c r="I7" s="147" t="s">
        <v>136</v>
      </c>
      <c r="J7" s="88" t="s">
        <v>20</v>
      </c>
      <c r="K7" s="149" t="s">
        <v>21</v>
      </c>
      <c r="L7" s="144" t="s">
        <v>22</v>
      </c>
      <c r="M7" s="149" t="s">
        <v>53</v>
      </c>
      <c r="N7" s="144" t="s">
        <v>23</v>
      </c>
      <c r="O7" s="149" t="s">
        <v>230</v>
      </c>
      <c r="P7" s="88" t="s">
        <v>231</v>
      </c>
      <c r="Q7" s="147" t="s">
        <v>24</v>
      </c>
      <c r="R7" s="88" t="s">
        <v>25</v>
      </c>
      <c r="S7" s="6"/>
      <c r="T7" s="6"/>
      <c r="U7" s="6"/>
      <c r="V7" s="6"/>
    </row>
    <row r="8" spans="1:24" ht="147" thickBot="1" x14ac:dyDescent="0.35">
      <c r="G8" s="146" t="s">
        <v>26</v>
      </c>
      <c r="H8" s="150" t="s">
        <v>121</v>
      </c>
      <c r="I8" s="148" t="s">
        <v>27</v>
      </c>
      <c r="J8" s="150" t="s">
        <v>122</v>
      </c>
      <c r="K8" s="146" t="s">
        <v>123</v>
      </c>
      <c r="L8" s="145" t="s">
        <v>28</v>
      </c>
      <c r="M8" s="146" t="s">
        <v>52</v>
      </c>
      <c r="N8" s="145" t="s">
        <v>42</v>
      </c>
      <c r="O8" s="146" t="s">
        <v>229</v>
      </c>
      <c r="P8" s="150" t="s">
        <v>29</v>
      </c>
      <c r="Q8" s="148" t="s">
        <v>30</v>
      </c>
      <c r="R8" s="150" t="s">
        <v>31</v>
      </c>
      <c r="S8" s="149"/>
      <c r="T8" s="7" t="s">
        <v>43</v>
      </c>
      <c r="U8" s="8" t="s">
        <v>78</v>
      </c>
      <c r="V8" s="7" t="s">
        <v>81</v>
      </c>
      <c r="W8" s="31" t="s">
        <v>79</v>
      </c>
      <c r="X8" s="32" t="s">
        <v>15</v>
      </c>
    </row>
    <row r="9" spans="1:24" ht="15" thickBot="1" x14ac:dyDescent="0.35">
      <c r="A9" s="158" t="s">
        <v>45</v>
      </c>
      <c r="B9" s="159"/>
      <c r="C9" s="89"/>
      <c r="E9" s="2" t="s">
        <v>17</v>
      </c>
    </row>
    <row r="10" spans="1:24" ht="154.19999999999999" thickBot="1" x14ac:dyDescent="0.35">
      <c r="A10" s="1" t="s">
        <v>15</v>
      </c>
      <c r="B10" s="1" t="s">
        <v>16</v>
      </c>
      <c r="C10" s="50"/>
      <c r="E10" s="90" t="s">
        <v>18</v>
      </c>
      <c r="F10" s="36" t="s">
        <v>137</v>
      </c>
      <c r="G10" s="91" t="s">
        <v>88</v>
      </c>
      <c r="H10" s="91" t="s">
        <v>89</v>
      </c>
      <c r="I10" s="91" t="s">
        <v>90</v>
      </c>
      <c r="J10" s="91" t="s">
        <v>91</v>
      </c>
      <c r="K10" s="91" t="s">
        <v>92</v>
      </c>
      <c r="L10" s="91" t="s">
        <v>93</v>
      </c>
      <c r="M10" s="91" t="s">
        <v>94</v>
      </c>
      <c r="N10" s="91" t="s">
        <v>95</v>
      </c>
      <c r="O10" s="91" t="s">
        <v>96</v>
      </c>
      <c r="P10" s="91" t="s">
        <v>97</v>
      </c>
      <c r="Q10" s="91" t="s">
        <v>98</v>
      </c>
      <c r="R10" s="91" t="s">
        <v>99</v>
      </c>
      <c r="S10" s="7" t="s">
        <v>32</v>
      </c>
      <c r="T10" s="7" t="s">
        <v>43</v>
      </c>
      <c r="U10" s="73" t="s">
        <v>78</v>
      </c>
      <c r="V10" s="73" t="s">
        <v>81</v>
      </c>
      <c r="W10" s="74" t="s">
        <v>79</v>
      </c>
      <c r="X10" s="32" t="s">
        <v>15</v>
      </c>
    </row>
    <row r="11" spans="1:24" x14ac:dyDescent="0.3">
      <c r="A11" s="2" t="s">
        <v>0</v>
      </c>
      <c r="B11" s="2">
        <v>20</v>
      </c>
      <c r="C11" s="50"/>
      <c r="E11" s="121" t="s">
        <v>162</v>
      </c>
      <c r="F11" s="124" t="s">
        <v>121</v>
      </c>
      <c r="G11" s="128">
        <v>17</v>
      </c>
      <c r="H11" s="128"/>
      <c r="I11" s="153">
        <v>20</v>
      </c>
      <c r="J11" s="153">
        <v>20</v>
      </c>
      <c r="K11" s="153">
        <v>20</v>
      </c>
      <c r="L11" s="153">
        <v>20</v>
      </c>
      <c r="M11" s="153">
        <v>20</v>
      </c>
      <c r="N11" s="153"/>
      <c r="O11" s="153">
        <v>20</v>
      </c>
      <c r="P11" s="128">
        <v>20</v>
      </c>
      <c r="Q11" s="128">
        <v>15</v>
      </c>
      <c r="R11" s="129">
        <v>20</v>
      </c>
      <c r="S11" s="122">
        <f>SUM(Table1[[#This Row],[1]:[12]])</f>
        <v>192</v>
      </c>
      <c r="T11" s="122">
        <f t="shared" ref="T11:T16" si="0">COUNTIF(G11:R11,"&gt;1")</f>
        <v>10</v>
      </c>
      <c r="U11" s="12" t="s">
        <v>189</v>
      </c>
      <c r="V11" s="65" t="str">
        <f>IF(Table1[[#This Row],[Observed? Y or N]]="N", "-20", "0")</f>
        <v>0</v>
      </c>
      <c r="W11" s="72">
        <f>Table1[[#This Row],[Total]]+Table1[[#This Row],[Penalty Applied]]-Table1[[#This Row],[1]]-Table1[[#This Row],[11]]</f>
        <v>160</v>
      </c>
      <c r="X11" s="72" t="s">
        <v>0</v>
      </c>
    </row>
    <row r="12" spans="1:24" x14ac:dyDescent="0.3">
      <c r="A12" s="3" t="s">
        <v>1</v>
      </c>
      <c r="B12" s="3">
        <v>17</v>
      </c>
      <c r="C12" s="50"/>
      <c r="E12" s="121" t="s">
        <v>103</v>
      </c>
      <c r="F12" s="126" t="s">
        <v>26</v>
      </c>
      <c r="G12" s="156"/>
      <c r="H12" s="153">
        <v>20</v>
      </c>
      <c r="I12" s="153">
        <v>17</v>
      </c>
      <c r="J12" s="153">
        <v>17</v>
      </c>
      <c r="K12" s="153">
        <v>17</v>
      </c>
      <c r="L12" s="153">
        <v>17</v>
      </c>
      <c r="M12" s="153">
        <v>17</v>
      </c>
      <c r="N12" s="153"/>
      <c r="O12" s="153">
        <v>17</v>
      </c>
      <c r="P12" s="153">
        <v>15</v>
      </c>
      <c r="Q12" s="153">
        <v>13</v>
      </c>
      <c r="R12" s="157">
        <v>17</v>
      </c>
      <c r="S12" s="132">
        <f>SUM(Table1[[#This Row],[1]:[12]])</f>
        <v>167</v>
      </c>
      <c r="T12" s="121">
        <f t="shared" si="0"/>
        <v>10</v>
      </c>
      <c r="U12" s="52" t="s">
        <v>189</v>
      </c>
      <c r="V12" s="51" t="str">
        <f>IF(Table1[[#This Row],[Observed? Y or N]]="N", "-20", "0")</f>
        <v>0</v>
      </c>
      <c r="W12" s="51">
        <f>Table1[[#This Row],[Total]]+Table1[[#This Row],[Penalty Applied]]-Table1[[#This Row],[11]]-Table1[[#This Row],[10]]</f>
        <v>139</v>
      </c>
      <c r="X12" s="65" t="s">
        <v>1</v>
      </c>
    </row>
    <row r="13" spans="1:24" x14ac:dyDescent="0.3">
      <c r="A13" s="3" t="s">
        <v>2</v>
      </c>
      <c r="B13" s="3">
        <v>15</v>
      </c>
      <c r="C13" s="50"/>
      <c r="E13" s="121" t="s">
        <v>138</v>
      </c>
      <c r="F13" s="126" t="s">
        <v>124</v>
      </c>
      <c r="G13" s="156">
        <v>13</v>
      </c>
      <c r="H13" s="153">
        <v>15</v>
      </c>
      <c r="I13" s="153">
        <v>15</v>
      </c>
      <c r="J13" s="153">
        <v>13</v>
      </c>
      <c r="K13" s="153">
        <v>11</v>
      </c>
      <c r="L13" s="153">
        <v>15</v>
      </c>
      <c r="M13" s="153">
        <v>13</v>
      </c>
      <c r="N13" s="153">
        <v>17</v>
      </c>
      <c r="O13" s="153">
        <v>13</v>
      </c>
      <c r="P13" s="153"/>
      <c r="Q13" s="153">
        <v>10</v>
      </c>
      <c r="R13" s="157"/>
      <c r="S13" s="132">
        <f>SUM(Table1[[#This Row],[1]:[12]])</f>
        <v>135</v>
      </c>
      <c r="T13" s="121">
        <f t="shared" si="0"/>
        <v>10</v>
      </c>
      <c r="U13" s="52" t="s">
        <v>189</v>
      </c>
      <c r="V13" s="51" t="str">
        <f>IF(Table1[[#This Row],[Observed? Y or N]]="N", "-20", "0")</f>
        <v>0</v>
      </c>
      <c r="W13" s="51">
        <f>Table1[[#This Row],[Total]]+Table1[[#This Row],[Penalty Applied]]-Table1[[#This Row],[5]]-Table1[[#This Row],[9]]</f>
        <v>111</v>
      </c>
      <c r="X13" s="65" t="s">
        <v>2</v>
      </c>
    </row>
    <row r="14" spans="1:24" x14ac:dyDescent="0.3">
      <c r="A14" s="3" t="s">
        <v>3</v>
      </c>
      <c r="B14" s="3">
        <v>13</v>
      </c>
      <c r="C14" s="50"/>
      <c r="E14" s="121" t="s">
        <v>66</v>
      </c>
      <c r="F14" s="126" t="s">
        <v>26</v>
      </c>
      <c r="G14" s="156"/>
      <c r="H14" s="153">
        <v>11</v>
      </c>
      <c r="I14" s="153">
        <v>11</v>
      </c>
      <c r="J14" s="153">
        <v>11</v>
      </c>
      <c r="K14" s="153">
        <v>13</v>
      </c>
      <c r="L14" s="153">
        <v>13</v>
      </c>
      <c r="M14" s="153"/>
      <c r="N14" s="153"/>
      <c r="O14" s="153"/>
      <c r="P14" s="153">
        <v>13</v>
      </c>
      <c r="Q14" s="153">
        <v>9</v>
      </c>
      <c r="R14" s="157">
        <v>15</v>
      </c>
      <c r="S14" s="132">
        <f>SUM(Table1[[#This Row],[1]:[12]])</f>
        <v>96</v>
      </c>
      <c r="T14" s="121">
        <f t="shared" si="0"/>
        <v>8</v>
      </c>
      <c r="U14" s="52" t="s">
        <v>189</v>
      </c>
      <c r="V14" s="51" t="str">
        <f>IF(Table1[[#This Row],[Observed? Y or N]]="N", "-20", "0")</f>
        <v>0</v>
      </c>
      <c r="W14" s="51">
        <f>Table1[[#This Row],[Total]]+Table1[[#This Row],[Penalty Applied]]</f>
        <v>96</v>
      </c>
      <c r="X14" s="65"/>
    </row>
    <row r="15" spans="1:24" x14ac:dyDescent="0.3">
      <c r="A15" s="3" t="s">
        <v>4</v>
      </c>
      <c r="B15" s="3">
        <v>11</v>
      </c>
      <c r="C15" s="50"/>
      <c r="E15" s="67" t="s">
        <v>170</v>
      </c>
      <c r="F15" s="59" t="s">
        <v>123</v>
      </c>
      <c r="G15" s="155"/>
      <c r="H15" s="113"/>
      <c r="I15" s="113"/>
      <c r="J15" s="113">
        <v>15</v>
      </c>
      <c r="K15" s="113">
        <v>15</v>
      </c>
      <c r="L15" s="113"/>
      <c r="M15" s="113">
        <v>15</v>
      </c>
      <c r="N15" s="113">
        <v>20</v>
      </c>
      <c r="O15" s="113">
        <v>15</v>
      </c>
      <c r="P15" s="113"/>
      <c r="Q15" s="113">
        <v>11</v>
      </c>
      <c r="R15" s="114">
        <v>13</v>
      </c>
      <c r="S15" s="58">
        <f>SUM(Table1[[#This Row],[1]:[12]])</f>
        <v>104</v>
      </c>
      <c r="T15" s="67">
        <f t="shared" si="0"/>
        <v>7</v>
      </c>
      <c r="U15" s="52" t="s">
        <v>80</v>
      </c>
      <c r="V15" s="51" t="str">
        <f>IF(Table1[[#This Row],[Observed? Y or N]]="N", "-20", "0")</f>
        <v>-20</v>
      </c>
      <c r="W15" s="51">
        <f>Table1[[#This Row],[Total]]+Table1[[#This Row],[Penalty Applied]]</f>
        <v>84</v>
      </c>
      <c r="X15" s="65"/>
    </row>
    <row r="16" spans="1:24" x14ac:dyDescent="0.3">
      <c r="A16" s="3" t="s">
        <v>5</v>
      </c>
      <c r="B16" s="3">
        <v>10</v>
      </c>
      <c r="C16" s="50"/>
      <c r="E16" s="67" t="s">
        <v>64</v>
      </c>
      <c r="F16" s="59" t="s">
        <v>26</v>
      </c>
      <c r="G16" s="155"/>
      <c r="H16" s="113"/>
      <c r="I16" s="113">
        <v>13</v>
      </c>
      <c r="J16" s="113">
        <v>10</v>
      </c>
      <c r="K16" s="113">
        <v>10</v>
      </c>
      <c r="L16" s="113"/>
      <c r="M16" s="113"/>
      <c r="N16" s="113"/>
      <c r="O16" s="113"/>
      <c r="P16" s="113"/>
      <c r="Q16" s="113"/>
      <c r="R16" s="114"/>
      <c r="S16" s="58">
        <f>SUM(Table1[[#This Row],[1]:[12]])</f>
        <v>33</v>
      </c>
      <c r="T16" s="67">
        <f t="shared" si="0"/>
        <v>3</v>
      </c>
      <c r="U16" s="52" t="s">
        <v>189</v>
      </c>
      <c r="V16" s="51" t="str">
        <f>IF(Table1[[#This Row],[Observed? Y or N]]="N", "-20", "0")</f>
        <v>0</v>
      </c>
      <c r="W16" s="51">
        <f>Table1[[#This Row],[Total]]+Table1[[#This Row],[Penalty Applied]]</f>
        <v>33</v>
      </c>
      <c r="X16" s="65"/>
    </row>
    <row r="17" spans="1:24" x14ac:dyDescent="0.3">
      <c r="A17" s="3" t="s">
        <v>6</v>
      </c>
      <c r="B17" s="3">
        <v>9</v>
      </c>
      <c r="C17" s="50"/>
      <c r="E17" s="67" t="s">
        <v>167</v>
      </c>
      <c r="F17" s="59" t="s">
        <v>124</v>
      </c>
      <c r="G17" s="155">
        <v>20</v>
      </c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4"/>
      <c r="S17" s="58">
        <f>SUM(Table1[[#This Row],[1]:[12]])</f>
        <v>20</v>
      </c>
      <c r="T17" s="67">
        <f>COUNTIF(G16:R16,"&gt;1")</f>
        <v>3</v>
      </c>
      <c r="U17" s="52" t="s">
        <v>80</v>
      </c>
      <c r="V17" s="51" t="str">
        <f>IF(Table1[[#This Row],[Observed? Y or N]]="N", "-20", "0")</f>
        <v>-20</v>
      </c>
      <c r="W17" s="51">
        <f>Table1[[#This Row],[Total]]+Table1[[#This Row],[Penalty Applied]]</f>
        <v>0</v>
      </c>
      <c r="X17" s="65"/>
    </row>
    <row r="18" spans="1:24" x14ac:dyDescent="0.3">
      <c r="A18" s="3" t="s">
        <v>7</v>
      </c>
      <c r="B18" s="3">
        <v>8</v>
      </c>
      <c r="C18" s="50"/>
      <c r="E18" s="67" t="s">
        <v>239</v>
      </c>
      <c r="F18" s="59" t="s">
        <v>160</v>
      </c>
      <c r="G18" s="155"/>
      <c r="H18" s="113"/>
      <c r="I18" s="113"/>
      <c r="J18" s="113"/>
      <c r="K18" s="113"/>
      <c r="L18" s="113"/>
      <c r="M18" s="113"/>
      <c r="N18" s="113"/>
      <c r="O18" s="113"/>
      <c r="P18" s="113"/>
      <c r="Q18" s="113">
        <v>20</v>
      </c>
      <c r="R18" s="114"/>
      <c r="S18" s="58">
        <f>SUM(Table1[[#This Row],[1]:[12]])</f>
        <v>20</v>
      </c>
      <c r="T18" s="67">
        <f t="shared" ref="T18:T26" si="1">COUNTIF(G18:R18,"&gt;1")</f>
        <v>1</v>
      </c>
      <c r="U18" s="52" t="s">
        <v>80</v>
      </c>
      <c r="V18" s="51" t="str">
        <f>IF(Table1[[#This Row],[Observed? Y or N]]="N", "-20", "0")</f>
        <v>-20</v>
      </c>
      <c r="W18" s="51">
        <f>Table1[[#This Row],[Total]]+Table1[[#This Row],[Penalty Applied]]</f>
        <v>0</v>
      </c>
      <c r="X18" s="65"/>
    </row>
    <row r="19" spans="1:24" x14ac:dyDescent="0.3">
      <c r="A19" s="3" t="s">
        <v>8</v>
      </c>
      <c r="B19" s="3">
        <v>7</v>
      </c>
      <c r="C19" s="50"/>
      <c r="E19" s="67" t="s">
        <v>115</v>
      </c>
      <c r="F19" s="59" t="s">
        <v>139</v>
      </c>
      <c r="G19" s="155"/>
      <c r="H19" s="113">
        <v>17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4"/>
      <c r="S19" s="58">
        <f>SUM(Table1[[#This Row],[1]:[12]])</f>
        <v>17</v>
      </c>
      <c r="T19" s="67">
        <f t="shared" si="1"/>
        <v>1</v>
      </c>
      <c r="U19" s="52" t="s">
        <v>80</v>
      </c>
      <c r="V19" s="51" t="str">
        <f>IF(Table1[[#This Row],[Observed? Y or N]]="N", "-20", "0")</f>
        <v>-20</v>
      </c>
      <c r="W19" s="51">
        <f>Table1[[#This Row],[Total]]+Table1[[#This Row],[Penalty Applied]]</f>
        <v>-3</v>
      </c>
      <c r="X19" s="65"/>
    </row>
    <row r="20" spans="1:24" x14ac:dyDescent="0.3">
      <c r="A20" s="3" t="s">
        <v>9</v>
      </c>
      <c r="B20" s="3">
        <v>6</v>
      </c>
      <c r="C20" s="50"/>
      <c r="E20" s="67" t="s">
        <v>234</v>
      </c>
      <c r="F20" s="81" t="s">
        <v>123</v>
      </c>
      <c r="G20" s="155"/>
      <c r="H20" s="113"/>
      <c r="I20" s="113"/>
      <c r="J20" s="113"/>
      <c r="K20" s="113"/>
      <c r="L20" s="113"/>
      <c r="M20" s="113"/>
      <c r="N20" s="113"/>
      <c r="O20" s="113"/>
      <c r="P20" s="113">
        <v>17</v>
      </c>
      <c r="Q20" s="113"/>
      <c r="R20" s="114"/>
      <c r="S20" s="58">
        <f>SUM(Table1[[#This Row],[1]:[12]])</f>
        <v>17</v>
      </c>
      <c r="T20" s="67">
        <f t="shared" si="1"/>
        <v>1</v>
      </c>
      <c r="U20" s="52" t="s">
        <v>80</v>
      </c>
      <c r="V20" s="51" t="str">
        <f>IF(Table1[[#This Row],[Observed? Y or N]]="N", "-20", "0")</f>
        <v>-20</v>
      </c>
      <c r="W20" s="51">
        <f>Table1[[#This Row],[Total]]+Table1[[#This Row],[Penalty Applied]]</f>
        <v>-3</v>
      </c>
      <c r="X20" s="65"/>
    </row>
    <row r="21" spans="1:24" x14ac:dyDescent="0.3">
      <c r="A21" s="3" t="s">
        <v>10</v>
      </c>
      <c r="B21" s="3">
        <v>5</v>
      </c>
      <c r="C21" s="50"/>
      <c r="E21" s="67" t="s">
        <v>240</v>
      </c>
      <c r="F21" s="59" t="s">
        <v>139</v>
      </c>
      <c r="G21" s="155"/>
      <c r="H21" s="113"/>
      <c r="I21" s="113"/>
      <c r="J21" s="113"/>
      <c r="K21" s="113"/>
      <c r="L21" s="113"/>
      <c r="M21" s="113"/>
      <c r="N21" s="113"/>
      <c r="O21" s="113"/>
      <c r="P21" s="113"/>
      <c r="Q21" s="113">
        <v>17</v>
      </c>
      <c r="R21" s="114"/>
      <c r="S21" s="58">
        <f>SUM(Table1[[#This Row],[1]:[12]])</f>
        <v>17</v>
      </c>
      <c r="T21" s="67">
        <f t="shared" si="1"/>
        <v>1</v>
      </c>
      <c r="U21" s="52" t="s">
        <v>80</v>
      </c>
      <c r="V21" s="51" t="str">
        <f>IF(Table1[[#This Row],[Observed? Y or N]]="N", "-20", "0")</f>
        <v>-20</v>
      </c>
      <c r="W21" s="51">
        <f>Table1[[#This Row],[Total]]+Table1[[#This Row],[Penalty Applied]]</f>
        <v>-3</v>
      </c>
      <c r="X21" s="65"/>
    </row>
    <row r="22" spans="1:24" x14ac:dyDescent="0.3">
      <c r="A22" s="3" t="s">
        <v>11</v>
      </c>
      <c r="B22" s="3">
        <v>4</v>
      </c>
      <c r="C22" s="50"/>
      <c r="E22" s="67" t="s">
        <v>132</v>
      </c>
      <c r="F22" s="59" t="s">
        <v>30</v>
      </c>
      <c r="G22" s="155"/>
      <c r="H22" s="113">
        <v>13</v>
      </c>
      <c r="I22" s="113"/>
      <c r="J22" s="113"/>
      <c r="K22" s="113"/>
      <c r="L22" s="113"/>
      <c r="M22" s="113"/>
      <c r="N22" s="113"/>
      <c r="O22" s="113"/>
      <c r="P22" s="113"/>
      <c r="Q22" s="113"/>
      <c r="R22" s="114"/>
      <c r="S22" s="58">
        <f>SUM(Table1[[#This Row],[1]:[12]])</f>
        <v>13</v>
      </c>
      <c r="T22" s="67">
        <f t="shared" si="1"/>
        <v>1</v>
      </c>
      <c r="U22" s="52" t="s">
        <v>80</v>
      </c>
      <c r="V22" s="51" t="str">
        <f>IF(Table1[[#This Row],[Observed? Y or N]]="N", "-20", "0")</f>
        <v>-20</v>
      </c>
      <c r="W22" s="51">
        <f>Table1[[#This Row],[Total]]+Table1[[#This Row],[Penalty Applied]]</f>
        <v>-7</v>
      </c>
      <c r="X22" s="65"/>
    </row>
    <row r="23" spans="1:24" x14ac:dyDescent="0.3">
      <c r="A23" s="3" t="s">
        <v>12</v>
      </c>
      <c r="B23" s="3">
        <v>3</v>
      </c>
      <c r="C23" s="50"/>
      <c r="E23" s="67" t="s">
        <v>87</v>
      </c>
      <c r="F23" s="59" t="s">
        <v>26</v>
      </c>
      <c r="G23" s="155"/>
      <c r="H23" s="113">
        <v>11</v>
      </c>
      <c r="I23" s="113"/>
      <c r="J23" s="113"/>
      <c r="K23" s="113"/>
      <c r="L23" s="113"/>
      <c r="M23" s="113"/>
      <c r="N23" s="113"/>
      <c r="O23" s="113"/>
      <c r="P23" s="113"/>
      <c r="Q23" s="113"/>
      <c r="R23" s="114"/>
      <c r="S23" s="58">
        <f>SUM(Table1[[#This Row],[1]:[12]])</f>
        <v>11</v>
      </c>
      <c r="T23" s="67">
        <f t="shared" si="1"/>
        <v>1</v>
      </c>
      <c r="U23" s="52" t="s">
        <v>80</v>
      </c>
      <c r="V23" s="51" t="str">
        <f>IF(Table1[[#This Row],[Observed? Y or N]]="N", "-20", "0")</f>
        <v>-20</v>
      </c>
      <c r="W23" s="51">
        <f>Table1[[#This Row],[Total]]+Table1[[#This Row],[Penalty Applied]]</f>
        <v>-9</v>
      </c>
      <c r="X23" s="65"/>
    </row>
    <row r="24" spans="1:24" x14ac:dyDescent="0.3">
      <c r="A24" s="3" t="s">
        <v>13</v>
      </c>
      <c r="B24" s="3">
        <v>2</v>
      </c>
      <c r="C24" s="50"/>
      <c r="E24" s="67"/>
      <c r="F24" s="59"/>
      <c r="G24" s="155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4"/>
      <c r="S24" s="58">
        <f>SUM(Table1[[#This Row],[1]:[12]])</f>
        <v>0</v>
      </c>
      <c r="T24" s="67">
        <f t="shared" si="1"/>
        <v>0</v>
      </c>
      <c r="U24" s="52" t="s">
        <v>80</v>
      </c>
      <c r="V24" s="51" t="str">
        <f>IF(Table1[[#This Row],[Observed? Y or N]]="N", "-20", "0")</f>
        <v>-20</v>
      </c>
      <c r="W24" s="51">
        <f>Table1[[#This Row],[Total]]+Table1[[#This Row],[Penalty Applied]]</f>
        <v>-20</v>
      </c>
      <c r="X24" s="65"/>
    </row>
    <row r="25" spans="1:24" ht="15" thickBot="1" x14ac:dyDescent="0.35">
      <c r="A25" s="4" t="s">
        <v>14</v>
      </c>
      <c r="B25" s="4">
        <v>1</v>
      </c>
      <c r="C25" s="50"/>
      <c r="E25" s="67"/>
      <c r="F25" s="59"/>
      <c r="G25" s="155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4"/>
      <c r="S25" s="58">
        <f>SUM(Table1[[#This Row],[1]:[12]])</f>
        <v>0</v>
      </c>
      <c r="T25" s="67">
        <f t="shared" si="1"/>
        <v>0</v>
      </c>
      <c r="U25" s="52" t="s">
        <v>80</v>
      </c>
      <c r="V25" s="51" t="str">
        <f>IF(Table1[[#This Row],[Observed? Y or N]]="N", "-20", "0")</f>
        <v>-20</v>
      </c>
      <c r="W25" s="51">
        <f>Table1[[#This Row],[Total]]+Table1[[#This Row],[Penalty Applied]]</f>
        <v>-20</v>
      </c>
      <c r="X25" s="65"/>
    </row>
    <row r="26" spans="1:24" x14ac:dyDescent="0.3">
      <c r="E26" s="67"/>
      <c r="F26" s="59"/>
      <c r="G26" s="155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4"/>
      <c r="S26" s="58">
        <f>SUM(Table1[[#This Row],[1]:[12]])</f>
        <v>0</v>
      </c>
      <c r="T26" s="67">
        <f t="shared" si="1"/>
        <v>0</v>
      </c>
      <c r="U26" s="52" t="s">
        <v>80</v>
      </c>
      <c r="V26" s="51" t="str">
        <f>IF(Table1[[#This Row],[Observed? Y or N]]="N", "-20", "0")</f>
        <v>-20</v>
      </c>
      <c r="W26" s="51">
        <f>Table1[[#This Row],[Total]]+Table1[[#This Row],[Penalty Applied]]</f>
        <v>-20</v>
      </c>
      <c r="X26" s="65"/>
    </row>
    <row r="27" spans="1:24" ht="15" thickBot="1" x14ac:dyDescent="0.35">
      <c r="E27" s="67"/>
      <c r="F27" s="60"/>
      <c r="G27" s="155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4"/>
      <c r="S27" s="58"/>
      <c r="T27" s="67"/>
      <c r="U27" s="52"/>
      <c r="V27" s="51"/>
      <c r="W27" s="62"/>
      <c r="X27" s="86"/>
    </row>
    <row r="28" spans="1:24" ht="15" thickBot="1" x14ac:dyDescent="0.35"/>
    <row r="29" spans="1:24" ht="153" thickBot="1" x14ac:dyDescent="0.35">
      <c r="E29" s="36" t="s">
        <v>33</v>
      </c>
      <c r="F29" s="36" t="s">
        <v>137</v>
      </c>
      <c r="G29" s="91" t="s">
        <v>88</v>
      </c>
      <c r="H29" s="91" t="s">
        <v>89</v>
      </c>
      <c r="I29" s="91" t="s">
        <v>90</v>
      </c>
      <c r="J29" s="91" t="s">
        <v>91</v>
      </c>
      <c r="K29" s="91" t="s">
        <v>92</v>
      </c>
      <c r="L29" s="91" t="s">
        <v>93</v>
      </c>
      <c r="M29" s="91" t="s">
        <v>94</v>
      </c>
      <c r="N29" s="91" t="s">
        <v>95</v>
      </c>
      <c r="O29" s="91" t="s">
        <v>96</v>
      </c>
      <c r="P29" s="91" t="s">
        <v>97</v>
      </c>
      <c r="Q29" s="91" t="s">
        <v>98</v>
      </c>
      <c r="R29" s="91" t="s">
        <v>99</v>
      </c>
      <c r="S29" s="7" t="s">
        <v>32</v>
      </c>
      <c r="T29" s="7" t="s">
        <v>43</v>
      </c>
      <c r="U29" s="82" t="s">
        <v>78</v>
      </c>
      <c r="V29" s="7" t="s">
        <v>81</v>
      </c>
      <c r="W29" s="32" t="s">
        <v>79</v>
      </c>
      <c r="X29" s="32" t="s">
        <v>15</v>
      </c>
    </row>
    <row r="30" spans="1:24" x14ac:dyDescent="0.3">
      <c r="E30" s="59" t="s">
        <v>55</v>
      </c>
      <c r="F30" s="42" t="s">
        <v>26</v>
      </c>
      <c r="G30" s="56">
        <v>20</v>
      </c>
      <c r="H30" s="40">
        <v>13</v>
      </c>
      <c r="I30" s="151">
        <v>17</v>
      </c>
      <c r="J30" s="151">
        <v>11</v>
      </c>
      <c r="K30" s="151"/>
      <c r="L30" s="151">
        <v>20</v>
      </c>
      <c r="M30" s="151"/>
      <c r="N30" s="151">
        <v>20</v>
      </c>
      <c r="O30" s="60">
        <v>20</v>
      </c>
      <c r="P30" s="56">
        <v>20</v>
      </c>
      <c r="Q30" s="56">
        <v>8</v>
      </c>
      <c r="R30" s="57"/>
      <c r="S30" s="42">
        <f>SUM(Table3[[#This Row],[1]:[12]])</f>
        <v>149</v>
      </c>
      <c r="T30" s="42">
        <f t="shared" ref="T30:T44" si="2">COUNTIF(G30:R30,"&gt;1")</f>
        <v>9</v>
      </c>
      <c r="U30" s="12" t="s">
        <v>80</v>
      </c>
      <c r="V30" s="44" t="str">
        <f>IF(Table3[[#This Row],[Observed? Y or N]]="N", "-20", "0")</f>
        <v>-20</v>
      </c>
      <c r="W30" s="43">
        <f>Table3[[#This Row],[Total]]+Table3[[#This Row],[Penalty Applied]]-Table3[[#This Row],[11]]</f>
        <v>121</v>
      </c>
      <c r="X30" s="72" t="s">
        <v>0</v>
      </c>
    </row>
    <row r="31" spans="1:24" x14ac:dyDescent="0.3">
      <c r="E31" s="126" t="s">
        <v>140</v>
      </c>
      <c r="F31" s="124" t="s">
        <v>30</v>
      </c>
      <c r="G31" s="123"/>
      <c r="H31" s="127">
        <v>17</v>
      </c>
      <c r="I31" s="81">
        <v>15</v>
      </c>
      <c r="J31" s="81">
        <v>15</v>
      </c>
      <c r="K31" s="81">
        <v>15</v>
      </c>
      <c r="L31" s="81"/>
      <c r="M31" s="81"/>
      <c r="N31" s="81"/>
      <c r="O31" s="60"/>
      <c r="P31" s="123"/>
      <c r="Q31" s="123">
        <v>15</v>
      </c>
      <c r="R31" s="124">
        <v>17</v>
      </c>
      <c r="S31" s="122">
        <f>SUM(Table3[[#This Row],[1]:[12]])</f>
        <v>94</v>
      </c>
      <c r="T31" s="122">
        <f t="shared" si="2"/>
        <v>6</v>
      </c>
      <c r="U31" s="9" t="s">
        <v>189</v>
      </c>
      <c r="V31" s="65" t="str">
        <f>IF(Table3[[#This Row],[Observed? Y or N]]="N", "-20", "0")</f>
        <v>0</v>
      </c>
      <c r="W31" s="65">
        <f>Table3[[#This Row],[Total]]+Table3[[#This Row],[Penalty Applied]]</f>
        <v>94</v>
      </c>
      <c r="X31" s="65" t="s">
        <v>1</v>
      </c>
    </row>
    <row r="32" spans="1:24" x14ac:dyDescent="0.3">
      <c r="E32" s="126" t="s">
        <v>127</v>
      </c>
      <c r="F32" s="122" t="s">
        <v>30</v>
      </c>
      <c r="G32" s="127"/>
      <c r="H32" s="127"/>
      <c r="I32" s="60"/>
      <c r="J32" s="60">
        <v>20</v>
      </c>
      <c r="K32" s="60">
        <v>20</v>
      </c>
      <c r="L32" s="60"/>
      <c r="M32" s="60"/>
      <c r="N32" s="60"/>
      <c r="O32" s="60"/>
      <c r="P32" s="127"/>
      <c r="Q32" s="127">
        <v>20</v>
      </c>
      <c r="R32" s="124">
        <v>20</v>
      </c>
      <c r="S32" s="122">
        <f>SUM(Table3[[#This Row],[1]:[12]])</f>
        <v>80</v>
      </c>
      <c r="T32" s="122">
        <f t="shared" si="2"/>
        <v>4</v>
      </c>
      <c r="U32" s="9" t="s">
        <v>190</v>
      </c>
      <c r="V32" s="65" t="str">
        <f>IF(Table3[[#This Row],[Observed? Y or N]]="N", "-20", "0")</f>
        <v>0</v>
      </c>
      <c r="W32" s="65">
        <f>Table3[[#This Row],[Total]]+Table3[[#This Row],[Penalty Applied]]</f>
        <v>80</v>
      </c>
      <c r="X32" s="65" t="s">
        <v>2</v>
      </c>
    </row>
    <row r="33" spans="5:24" x14ac:dyDescent="0.3">
      <c r="E33" s="126" t="s">
        <v>65</v>
      </c>
      <c r="F33" s="122" t="s">
        <v>28</v>
      </c>
      <c r="G33" s="123"/>
      <c r="H33" s="127">
        <v>20</v>
      </c>
      <c r="I33" s="81"/>
      <c r="J33" s="81">
        <v>17</v>
      </c>
      <c r="K33" s="81"/>
      <c r="L33" s="81"/>
      <c r="M33" s="81"/>
      <c r="N33" s="81"/>
      <c r="O33" s="60"/>
      <c r="P33" s="123"/>
      <c r="Q33" s="123">
        <v>13</v>
      </c>
      <c r="R33" s="124"/>
      <c r="S33" s="122">
        <f>SUM(Table3[[#This Row],[1]:[12]])</f>
        <v>50</v>
      </c>
      <c r="T33" s="122">
        <f t="shared" si="2"/>
        <v>3</v>
      </c>
      <c r="U33" s="9" t="s">
        <v>189</v>
      </c>
      <c r="V33" s="65" t="str">
        <f>IF(Table3[[#This Row],[Observed? Y or N]]="N", "-20", "0")</f>
        <v>0</v>
      </c>
      <c r="W33" s="65">
        <f>Table3[[#This Row],[Total]]+Table3[[#This Row],[Penalty Applied]]</f>
        <v>50</v>
      </c>
      <c r="X33" s="65"/>
    </row>
    <row r="34" spans="5:24" x14ac:dyDescent="0.3">
      <c r="E34" s="59" t="s">
        <v>171</v>
      </c>
      <c r="F34" s="41" t="s">
        <v>123</v>
      </c>
      <c r="G34" s="40"/>
      <c r="H34" s="40"/>
      <c r="I34" s="60"/>
      <c r="J34" s="60">
        <v>13</v>
      </c>
      <c r="K34" s="60">
        <v>17</v>
      </c>
      <c r="L34" s="60"/>
      <c r="M34" s="60">
        <v>17</v>
      </c>
      <c r="N34" s="60"/>
      <c r="O34" s="60"/>
      <c r="P34" s="40"/>
      <c r="Q34" s="40">
        <v>17</v>
      </c>
      <c r="R34" s="39"/>
      <c r="S34" s="41">
        <f>SUM(Table3[[#This Row],[1]:[12]])</f>
        <v>64</v>
      </c>
      <c r="T34" s="41">
        <f t="shared" si="2"/>
        <v>4</v>
      </c>
      <c r="U34" s="9" t="s">
        <v>80</v>
      </c>
      <c r="V34" s="43" t="str">
        <f>IF(Table3[[#This Row],[Observed? Y or N]]="N", "-20", "0")</f>
        <v>-20</v>
      </c>
      <c r="W34" s="43">
        <f>Table3[[#This Row],[Total]]+Table3[[#This Row],[Penalty Applied]]</f>
        <v>44</v>
      </c>
      <c r="X34" s="65"/>
    </row>
    <row r="35" spans="5:24" x14ac:dyDescent="0.3">
      <c r="E35" s="59" t="s">
        <v>141</v>
      </c>
      <c r="F35" s="39" t="s">
        <v>123</v>
      </c>
      <c r="G35" s="40">
        <v>15</v>
      </c>
      <c r="H35" s="40">
        <v>15</v>
      </c>
      <c r="I35" s="60">
        <v>20</v>
      </c>
      <c r="J35" s="60">
        <v>10</v>
      </c>
      <c r="K35" s="60"/>
      <c r="L35" s="60"/>
      <c r="M35" s="60"/>
      <c r="N35" s="60"/>
      <c r="O35" s="60"/>
      <c r="P35" s="40"/>
      <c r="Q35" s="40"/>
      <c r="R35" s="39"/>
      <c r="S35" s="41">
        <f>SUM(Table3[[#This Row],[1]:[12]])</f>
        <v>60</v>
      </c>
      <c r="T35" s="58">
        <f t="shared" si="2"/>
        <v>4</v>
      </c>
      <c r="U35" s="9" t="s">
        <v>80</v>
      </c>
      <c r="V35" s="43" t="str">
        <f>IF(Table3[[#This Row],[Observed? Y or N]]="N", "-20", "0")</f>
        <v>-20</v>
      </c>
      <c r="W35" s="43">
        <f>Table3[[#This Row],[Total]]+Table3[[#This Row],[Penalty Applied]]</f>
        <v>40</v>
      </c>
      <c r="X35" s="65"/>
    </row>
    <row r="36" spans="5:24" x14ac:dyDescent="0.3">
      <c r="E36" s="59" t="s">
        <v>86</v>
      </c>
      <c r="F36" s="41" t="s">
        <v>26</v>
      </c>
      <c r="G36" s="40">
        <v>17</v>
      </c>
      <c r="H36" s="40"/>
      <c r="I36" s="60">
        <v>13</v>
      </c>
      <c r="J36" s="60"/>
      <c r="K36" s="60"/>
      <c r="L36" s="60"/>
      <c r="M36" s="60">
        <v>13</v>
      </c>
      <c r="N36" s="60"/>
      <c r="O36" s="60"/>
      <c r="P36" s="40"/>
      <c r="Q36" s="40"/>
      <c r="R36" s="39"/>
      <c r="S36" s="41">
        <f>SUM(Table3[[#This Row],[1]:[12]])</f>
        <v>43</v>
      </c>
      <c r="T36" s="41">
        <f t="shared" si="2"/>
        <v>3</v>
      </c>
      <c r="U36" s="9" t="s">
        <v>80</v>
      </c>
      <c r="V36" s="43" t="str">
        <f>IF(Table3[[#This Row],[Observed? Y or N]]="N", "-20", "0")</f>
        <v>-20</v>
      </c>
      <c r="W36" s="43">
        <f>Table3[[#This Row],[Total]]+Table3[[#This Row],[Penalty Applied]]</f>
        <v>23</v>
      </c>
      <c r="X36" s="65"/>
    </row>
    <row r="37" spans="5:24" x14ac:dyDescent="0.3">
      <c r="E37" s="59" t="s">
        <v>111</v>
      </c>
      <c r="F37" s="39" t="s">
        <v>160</v>
      </c>
      <c r="G37" s="40"/>
      <c r="H37" s="40"/>
      <c r="I37" s="60"/>
      <c r="J37" s="60"/>
      <c r="K37" s="60">
        <v>13</v>
      </c>
      <c r="L37" s="60"/>
      <c r="M37" s="60"/>
      <c r="N37" s="60"/>
      <c r="O37" s="60"/>
      <c r="P37" s="40"/>
      <c r="Q37" s="40">
        <v>10</v>
      </c>
      <c r="R37" s="39"/>
      <c r="S37" s="41">
        <f>SUM(Table3[[#This Row],[1]:[12]])</f>
        <v>23</v>
      </c>
      <c r="T37" s="41">
        <f t="shared" si="2"/>
        <v>2</v>
      </c>
      <c r="U37" s="9" t="s">
        <v>80</v>
      </c>
      <c r="V37" s="43" t="str">
        <f>IF(Table3[[#This Row],[Observed? Y or N]]="N", "-20", "0")</f>
        <v>-20</v>
      </c>
      <c r="W37" s="43">
        <f>Table3[[#This Row],[Total]]+Table3[[#This Row],[Penalty Applied]]</f>
        <v>3</v>
      </c>
      <c r="X37" s="65"/>
    </row>
    <row r="38" spans="5:24" x14ac:dyDescent="0.3">
      <c r="E38" s="59" t="s">
        <v>212</v>
      </c>
      <c r="F38" s="39"/>
      <c r="G38" s="40"/>
      <c r="H38" s="40"/>
      <c r="I38" s="60"/>
      <c r="J38" s="60"/>
      <c r="K38" s="60"/>
      <c r="L38" s="60"/>
      <c r="M38" s="60">
        <v>20</v>
      </c>
      <c r="N38" s="60"/>
      <c r="O38" s="60"/>
      <c r="P38" s="40"/>
      <c r="Q38" s="40"/>
      <c r="R38" s="39"/>
      <c r="S38" s="41">
        <f>SUM(Table3[[#This Row],[1]:[12]])</f>
        <v>20</v>
      </c>
      <c r="T38" s="41">
        <f t="shared" si="2"/>
        <v>1</v>
      </c>
      <c r="U38" s="9" t="s">
        <v>80</v>
      </c>
      <c r="V38" s="43" t="str">
        <f>IF(Table3[[#This Row],[Observed? Y or N]]="N", "-20", "0")</f>
        <v>-20</v>
      </c>
      <c r="W38" s="43">
        <f>Table3[[#This Row],[Total]]+Table3[[#This Row],[Penalty Applied]]</f>
        <v>0</v>
      </c>
      <c r="X38" s="65"/>
    </row>
    <row r="39" spans="5:24" x14ac:dyDescent="0.3">
      <c r="E39" s="59" t="s">
        <v>213</v>
      </c>
      <c r="F39" s="39"/>
      <c r="G39" s="40"/>
      <c r="H39" s="40"/>
      <c r="I39" s="60"/>
      <c r="J39" s="60"/>
      <c r="K39" s="60"/>
      <c r="L39" s="60"/>
      <c r="M39" s="60">
        <v>15</v>
      </c>
      <c r="N39" s="60"/>
      <c r="O39" s="60"/>
      <c r="P39" s="40"/>
      <c r="Q39" s="40"/>
      <c r="R39" s="39"/>
      <c r="S39" s="41">
        <f>SUM(Table3[[#This Row],[1]:[12]])</f>
        <v>15</v>
      </c>
      <c r="T39" s="41">
        <f t="shared" si="2"/>
        <v>1</v>
      </c>
      <c r="U39" s="9" t="s">
        <v>80</v>
      </c>
      <c r="V39" s="43" t="str">
        <f>IF(Table3[[#This Row],[Observed? Y or N]]="N", "-20", "0")</f>
        <v>-20</v>
      </c>
      <c r="W39" s="43">
        <f>Table3[[#This Row],[Total]]+Table3[[#This Row],[Penalty Applied]]</f>
        <v>-5</v>
      </c>
      <c r="X39" s="65"/>
    </row>
    <row r="40" spans="5:24" x14ac:dyDescent="0.3">
      <c r="E40" s="59" t="s">
        <v>132</v>
      </c>
      <c r="F40" s="39" t="s">
        <v>30</v>
      </c>
      <c r="G40" s="40">
        <v>13</v>
      </c>
      <c r="H40" s="40"/>
      <c r="I40" s="60"/>
      <c r="J40" s="60"/>
      <c r="K40" s="60"/>
      <c r="L40" s="60"/>
      <c r="M40" s="60"/>
      <c r="N40" s="60"/>
      <c r="O40" s="60"/>
      <c r="P40" s="40"/>
      <c r="Q40" s="40"/>
      <c r="R40" s="39"/>
      <c r="S40" s="41">
        <f>SUM(Table3[[#This Row],[1]:[12]])</f>
        <v>13</v>
      </c>
      <c r="T40" s="41">
        <f t="shared" si="2"/>
        <v>1</v>
      </c>
      <c r="U40" s="9" t="s">
        <v>80</v>
      </c>
      <c r="V40" s="43" t="str">
        <f>IF(Table3[[#This Row],[Observed? Y or N]]="N", "-20", "0")</f>
        <v>-20</v>
      </c>
      <c r="W40" s="43">
        <f>Table3[[#This Row],[Total]]+Table3[[#This Row],[Penalty Applied]]</f>
        <v>-7</v>
      </c>
      <c r="X40" s="65"/>
    </row>
    <row r="41" spans="5:24" x14ac:dyDescent="0.3">
      <c r="E41" s="59" t="s">
        <v>115</v>
      </c>
      <c r="F41" s="39" t="s">
        <v>52</v>
      </c>
      <c r="G41" s="40">
        <v>11</v>
      </c>
      <c r="H41" s="40"/>
      <c r="I41" s="60"/>
      <c r="J41" s="60"/>
      <c r="K41" s="60"/>
      <c r="L41" s="60"/>
      <c r="M41" s="60"/>
      <c r="N41" s="60"/>
      <c r="O41" s="60"/>
      <c r="P41" s="40"/>
      <c r="Q41" s="40"/>
      <c r="R41" s="39"/>
      <c r="S41" s="41">
        <f>SUM(Table3[[#This Row],[1]:[12]])</f>
        <v>11</v>
      </c>
      <c r="T41" s="41">
        <f t="shared" si="2"/>
        <v>1</v>
      </c>
      <c r="U41" s="9" t="s">
        <v>80</v>
      </c>
      <c r="V41" s="43" t="str">
        <f>IF(Table3[[#This Row],[Observed? Y or N]]="N", "-20", "0")</f>
        <v>-20</v>
      </c>
      <c r="W41" s="43">
        <f>Table3[[#This Row],[Total]]+Table3[[#This Row],[Penalty Applied]]</f>
        <v>-9</v>
      </c>
      <c r="X41" s="65"/>
    </row>
    <row r="42" spans="5:24" x14ac:dyDescent="0.3">
      <c r="E42" s="59" t="s">
        <v>241</v>
      </c>
      <c r="F42" s="41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>
        <v>11</v>
      </c>
      <c r="R42" s="39"/>
      <c r="S42" s="41">
        <f>SUM(Table3[[#This Row],[1]:[12]])</f>
        <v>11</v>
      </c>
      <c r="T42" s="41">
        <f t="shared" si="2"/>
        <v>1</v>
      </c>
      <c r="U42" s="9" t="s">
        <v>80</v>
      </c>
      <c r="V42" s="43" t="str">
        <f>IF(Table3[[#This Row],[Observed? Y or N]]="N", "-20", "0")</f>
        <v>-20</v>
      </c>
      <c r="W42" s="43">
        <f>Table3[[#This Row],[Total]]+Table3[[#This Row],[Penalty Applied]]</f>
        <v>-9</v>
      </c>
      <c r="X42" s="65"/>
    </row>
    <row r="43" spans="5:24" x14ac:dyDescent="0.3">
      <c r="E43" s="59" t="s">
        <v>87</v>
      </c>
      <c r="F43" s="39" t="s">
        <v>26</v>
      </c>
      <c r="G43" s="40">
        <v>10</v>
      </c>
      <c r="H43" s="40"/>
      <c r="I43" s="60"/>
      <c r="J43" s="60"/>
      <c r="K43" s="60"/>
      <c r="L43" s="60"/>
      <c r="M43" s="60"/>
      <c r="N43" s="60"/>
      <c r="O43" s="60"/>
      <c r="P43" s="40"/>
      <c r="Q43" s="40"/>
      <c r="R43" s="39"/>
      <c r="S43" s="41">
        <f>SUM(Table3[[#This Row],[1]:[12]])</f>
        <v>10</v>
      </c>
      <c r="T43" s="41">
        <f t="shared" si="2"/>
        <v>1</v>
      </c>
      <c r="U43" s="9" t="s">
        <v>80</v>
      </c>
      <c r="V43" s="43" t="str">
        <f>IF(Table3[[#This Row],[Observed? Y or N]]="N", "-20", "0")</f>
        <v>-20</v>
      </c>
      <c r="W43" s="43">
        <f>Table3[[#This Row],[Total]]+Table3[[#This Row],[Penalty Applied]]</f>
        <v>-10</v>
      </c>
      <c r="X43" s="65"/>
    </row>
    <row r="44" spans="5:24" ht="15" thickBot="1" x14ac:dyDescent="0.35">
      <c r="E44" s="59" t="s">
        <v>173</v>
      </c>
      <c r="F44" s="66" t="s">
        <v>121</v>
      </c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>
        <v>9</v>
      </c>
      <c r="R44" s="70"/>
      <c r="S44" s="154">
        <f>SUM(Table3[[#This Row],[1]:[12]])</f>
        <v>9</v>
      </c>
      <c r="T44" s="154">
        <f t="shared" si="2"/>
        <v>1</v>
      </c>
      <c r="U44" s="62" t="s">
        <v>80</v>
      </c>
      <c r="V44" s="110" t="str">
        <f>IF(Table3[[#This Row],[Observed? Y or N]]="N", "-20", "0")</f>
        <v>-20</v>
      </c>
      <c r="W44" s="51">
        <f>Table3[[#This Row],[Total]]+Table3[[#This Row],[Penalty Applied]]</f>
        <v>-11</v>
      </c>
      <c r="X44" s="110"/>
    </row>
    <row r="45" spans="5:24" x14ac:dyDescent="0.3">
      <c r="E45" s="9"/>
      <c r="Q45" s="9"/>
      <c r="R45" s="3"/>
    </row>
    <row r="46" spans="5:24" ht="15" thickBot="1" x14ac:dyDescent="0.35"/>
    <row r="47" spans="5:24" ht="153" thickBot="1" x14ac:dyDescent="0.35">
      <c r="E47" s="36" t="s">
        <v>34</v>
      </c>
      <c r="F47" s="36" t="s">
        <v>137</v>
      </c>
      <c r="G47" s="35" t="s">
        <v>88</v>
      </c>
      <c r="H47" s="35" t="s">
        <v>89</v>
      </c>
      <c r="I47" s="35" t="s">
        <v>90</v>
      </c>
      <c r="J47" s="35" t="s">
        <v>91</v>
      </c>
      <c r="K47" s="35" t="s">
        <v>92</v>
      </c>
      <c r="L47" s="35" t="s">
        <v>93</v>
      </c>
      <c r="M47" s="35" t="s">
        <v>94</v>
      </c>
      <c r="N47" s="35" t="s">
        <v>95</v>
      </c>
      <c r="O47" s="35" t="s">
        <v>96</v>
      </c>
      <c r="P47" s="35" t="s">
        <v>97</v>
      </c>
      <c r="Q47" s="35" t="s">
        <v>98</v>
      </c>
      <c r="R47" s="35" t="s">
        <v>99</v>
      </c>
      <c r="S47" s="7" t="s">
        <v>32</v>
      </c>
      <c r="T47" s="7" t="s">
        <v>43</v>
      </c>
      <c r="U47" s="82" t="s">
        <v>78</v>
      </c>
      <c r="V47" s="7" t="s">
        <v>81</v>
      </c>
      <c r="W47" s="32" t="s">
        <v>79</v>
      </c>
      <c r="X47" s="32" t="s">
        <v>15</v>
      </c>
    </row>
    <row r="48" spans="5:24" x14ac:dyDescent="0.3">
      <c r="E48" s="126" t="s">
        <v>57</v>
      </c>
      <c r="F48" s="131" t="s">
        <v>30</v>
      </c>
      <c r="G48" s="133">
        <v>20</v>
      </c>
      <c r="H48" s="133">
        <v>20</v>
      </c>
      <c r="I48" s="142"/>
      <c r="J48" s="142">
        <v>17</v>
      </c>
      <c r="K48" s="142"/>
      <c r="L48" s="142"/>
      <c r="M48" s="142">
        <v>8</v>
      </c>
      <c r="N48" s="142"/>
      <c r="O48" s="130">
        <v>17</v>
      </c>
      <c r="P48" s="133">
        <v>20</v>
      </c>
      <c r="Q48" s="133"/>
      <c r="R48" s="134">
        <v>20</v>
      </c>
      <c r="S48" s="135">
        <f>SUM(Table4[[#This Row],[1]:[12]])</f>
        <v>122</v>
      </c>
      <c r="T48" s="131">
        <f>COUNTIF(G48:R48,"&gt;1")</f>
        <v>7</v>
      </c>
      <c r="U48" s="9" t="s">
        <v>189</v>
      </c>
      <c r="V48" s="72" t="str">
        <f>IF(Table4[[#This Row],[Observed? Y or N]]="N", "-20", "0")</f>
        <v>0</v>
      </c>
      <c r="W48" s="65">
        <f>Table4[[#This Row],[Total]]+Table4[[#This Row],[Penalty Applied]]</f>
        <v>122</v>
      </c>
      <c r="X48" s="72" t="s">
        <v>0</v>
      </c>
    </row>
    <row r="49" spans="5:24" x14ac:dyDescent="0.3">
      <c r="E49" s="126" t="s">
        <v>56</v>
      </c>
      <c r="F49" s="122" t="s">
        <v>122</v>
      </c>
      <c r="G49" s="123">
        <v>13</v>
      </c>
      <c r="H49" s="123">
        <v>13</v>
      </c>
      <c r="I49" s="81">
        <v>17</v>
      </c>
      <c r="J49" s="81">
        <v>15</v>
      </c>
      <c r="K49" s="81">
        <v>17</v>
      </c>
      <c r="L49" s="81"/>
      <c r="M49" s="81">
        <v>6</v>
      </c>
      <c r="N49" s="81"/>
      <c r="O49" s="60"/>
      <c r="P49" s="123"/>
      <c r="Q49" s="123">
        <v>11</v>
      </c>
      <c r="R49" s="124">
        <v>13</v>
      </c>
      <c r="S49" s="125">
        <f>SUM(Table4[[#This Row],[1]:[12]])</f>
        <v>105</v>
      </c>
      <c r="T49" s="122">
        <f>COUNTIF(G49:R49,"&gt;1")</f>
        <v>8</v>
      </c>
      <c r="U49" s="9" t="s">
        <v>189</v>
      </c>
      <c r="V49" s="65" t="str">
        <f>IF(Table4[[#This Row],[Observed? Y or N]]="N", "-20", "0")</f>
        <v>0</v>
      </c>
      <c r="W49" s="65">
        <f>Table4[[#This Row],[Total]]+Table4[[#This Row],[Penalty Applied]]</f>
        <v>105</v>
      </c>
      <c r="X49" s="65" t="s">
        <v>1</v>
      </c>
    </row>
    <row r="50" spans="5:24" x14ac:dyDescent="0.3">
      <c r="E50" s="59" t="s">
        <v>68</v>
      </c>
      <c r="F50" s="41" t="s">
        <v>26</v>
      </c>
      <c r="G50" s="68"/>
      <c r="H50" s="68">
        <v>8</v>
      </c>
      <c r="I50" s="81">
        <v>15</v>
      </c>
      <c r="J50" s="81"/>
      <c r="K50" s="81">
        <v>11</v>
      </c>
      <c r="L50" s="81"/>
      <c r="M50" s="81">
        <v>15</v>
      </c>
      <c r="N50" s="81"/>
      <c r="O50" s="60">
        <v>20</v>
      </c>
      <c r="P50" s="68">
        <v>15</v>
      </c>
      <c r="Q50" s="68">
        <v>20</v>
      </c>
      <c r="R50" s="39">
        <v>15</v>
      </c>
      <c r="S50" s="45">
        <f>SUM(Table4[[#This Row],[1]:[12]])</f>
        <v>119</v>
      </c>
      <c r="T50" s="41">
        <f>COUNTIF(G50:R50,"&gt;1")</f>
        <v>8</v>
      </c>
      <c r="U50" s="9" t="s">
        <v>80</v>
      </c>
      <c r="V50" s="43" t="str">
        <f>IF(Table4[[#This Row],[Observed? Y or N]]="N", "-20", "0")</f>
        <v>-20</v>
      </c>
      <c r="W50" s="43">
        <f>Table4[[#This Row],[Total]]+Table4[[#This Row],[Penalty Applied]]</f>
        <v>99</v>
      </c>
      <c r="X50" s="65" t="s">
        <v>2</v>
      </c>
    </row>
    <row r="51" spans="5:24" x14ac:dyDescent="0.3">
      <c r="E51" s="126" t="s">
        <v>58</v>
      </c>
      <c r="F51" s="122" t="s">
        <v>30</v>
      </c>
      <c r="G51" s="127">
        <v>17</v>
      </c>
      <c r="H51" s="127">
        <v>5</v>
      </c>
      <c r="I51" s="130"/>
      <c r="J51" s="130">
        <v>9</v>
      </c>
      <c r="K51" s="130">
        <v>10</v>
      </c>
      <c r="L51" s="130">
        <v>13</v>
      </c>
      <c r="M51" s="130"/>
      <c r="N51" s="130">
        <v>9</v>
      </c>
      <c r="O51" s="130">
        <v>11</v>
      </c>
      <c r="P51" s="127">
        <v>9</v>
      </c>
      <c r="Q51" s="127"/>
      <c r="R51" s="124">
        <v>11</v>
      </c>
      <c r="S51" s="125">
        <f>SUM(Table4[[#This Row],[1]:[12]])</f>
        <v>94</v>
      </c>
      <c r="T51" s="122">
        <f>COUNTIF(G51:R51,"&gt;1")</f>
        <v>9</v>
      </c>
      <c r="U51" s="9" t="s">
        <v>189</v>
      </c>
      <c r="V51" s="65" t="str">
        <f>IF(Table4[[#This Row],[Observed? Y or N]]="N", "-20", "0")</f>
        <v>0</v>
      </c>
      <c r="W51" s="65">
        <f>Table4[[#This Row],[Total]]+Table4[[#This Row],[Penalty Applied]]-Table4[[#This Row],[2]]</f>
        <v>89</v>
      </c>
      <c r="X51" s="65"/>
    </row>
    <row r="52" spans="5:24" x14ac:dyDescent="0.3">
      <c r="E52" s="126" t="s">
        <v>67</v>
      </c>
      <c r="F52" s="124" t="s">
        <v>26</v>
      </c>
      <c r="G52" s="127"/>
      <c r="H52" s="127">
        <v>9</v>
      </c>
      <c r="I52" s="60">
        <v>13</v>
      </c>
      <c r="J52" s="60">
        <v>13</v>
      </c>
      <c r="K52" s="60">
        <v>20</v>
      </c>
      <c r="L52" s="60">
        <v>20</v>
      </c>
      <c r="M52" s="60">
        <v>11</v>
      </c>
      <c r="N52" s="60"/>
      <c r="O52" s="60"/>
      <c r="P52" s="127"/>
      <c r="Q52" s="127"/>
      <c r="R52" s="124"/>
      <c r="S52" s="125">
        <f>SUM(Table4[[#This Row],[1]:[12]])</f>
        <v>86</v>
      </c>
      <c r="T52" s="122">
        <f>COUNTIF(G52:R52,"&gt;1")</f>
        <v>6</v>
      </c>
      <c r="U52" s="9" t="s">
        <v>189</v>
      </c>
      <c r="V52" s="65" t="str">
        <f>IF(Table4[[#This Row],[Observed? Y or N]]="N", "-20", "0")</f>
        <v>0</v>
      </c>
      <c r="W52" s="65">
        <f>Table4[[#This Row],[Total]]+Table4[[#This Row],[Penalty Applied]]</f>
        <v>86</v>
      </c>
      <c r="X52" s="65"/>
    </row>
    <row r="53" spans="5:24" x14ac:dyDescent="0.3">
      <c r="E53" s="126" t="s">
        <v>82</v>
      </c>
      <c r="F53" s="122" t="s">
        <v>26</v>
      </c>
      <c r="G53" s="127"/>
      <c r="H53" s="127">
        <v>11</v>
      </c>
      <c r="I53" s="60">
        <v>10</v>
      </c>
      <c r="J53" s="60"/>
      <c r="K53" s="60">
        <v>13</v>
      </c>
      <c r="L53" s="60"/>
      <c r="M53" s="60">
        <v>5</v>
      </c>
      <c r="N53" s="60">
        <v>13</v>
      </c>
      <c r="O53" s="60"/>
      <c r="P53" s="127"/>
      <c r="Q53" s="127">
        <v>13</v>
      </c>
      <c r="R53" s="124"/>
      <c r="S53" s="125">
        <f>SUM(Table4[[#This Row],[1]:[12]])</f>
        <v>65</v>
      </c>
      <c r="T53" s="122">
        <f>COUNTIF(G53:R53,"&gt;1")</f>
        <v>6</v>
      </c>
      <c r="U53" s="9" t="s">
        <v>189</v>
      </c>
      <c r="V53" s="65" t="str">
        <f>IF(Table4[[#This Row],[Observed? Y or N]]="N", "-20", "0")</f>
        <v>0</v>
      </c>
      <c r="W53" s="65">
        <f>Table4[[#This Row],[Total]]+Table4[[#This Row],[Penalty Applied]]</f>
        <v>65</v>
      </c>
      <c r="X53" s="65"/>
    </row>
    <row r="54" spans="5:24" x14ac:dyDescent="0.3">
      <c r="E54" s="126" t="s">
        <v>69</v>
      </c>
      <c r="F54" s="122" t="s">
        <v>26</v>
      </c>
      <c r="G54" s="127"/>
      <c r="H54" s="127">
        <v>15</v>
      </c>
      <c r="I54" s="60">
        <v>9</v>
      </c>
      <c r="J54" s="60">
        <v>8</v>
      </c>
      <c r="K54" s="60">
        <v>15</v>
      </c>
      <c r="L54" s="60"/>
      <c r="M54" s="60">
        <v>7</v>
      </c>
      <c r="N54" s="60">
        <v>10</v>
      </c>
      <c r="O54" s="60"/>
      <c r="P54" s="127"/>
      <c r="Q54" s="127"/>
      <c r="R54" s="124"/>
      <c r="S54" s="125">
        <f>SUM(Table4[[#This Row],[1]:[12]])</f>
        <v>64</v>
      </c>
      <c r="T54" s="122">
        <f>COUNTIF(G54:R54,"&gt;1")</f>
        <v>6</v>
      </c>
      <c r="U54" s="9" t="s">
        <v>189</v>
      </c>
      <c r="V54" s="65" t="str">
        <f>IF(Table4[[#This Row],[Observed? Y or N]]="N", "-20", "0")</f>
        <v>0</v>
      </c>
      <c r="W54" s="65">
        <f>Table4[[#This Row],[Total]]+Table4[[#This Row],[Penalty Applied]]</f>
        <v>64</v>
      </c>
      <c r="X54" s="65"/>
    </row>
    <row r="55" spans="5:24" x14ac:dyDescent="0.3">
      <c r="E55" s="126" t="s">
        <v>105</v>
      </c>
      <c r="F55" s="124" t="s">
        <v>27</v>
      </c>
      <c r="G55" s="123">
        <v>11</v>
      </c>
      <c r="H55" s="123">
        <v>17</v>
      </c>
      <c r="I55" s="81"/>
      <c r="J55" s="81"/>
      <c r="K55" s="81">
        <v>9</v>
      </c>
      <c r="L55" s="81"/>
      <c r="M55" s="81"/>
      <c r="N55" s="81"/>
      <c r="O55" s="60"/>
      <c r="P55" s="123"/>
      <c r="Q55" s="123"/>
      <c r="R55" s="124">
        <v>10</v>
      </c>
      <c r="S55" s="125">
        <f>SUM(Table4[[#This Row],[1]:[12]])</f>
        <v>47</v>
      </c>
      <c r="T55" s="122">
        <f>COUNTIF(G55:R55,"&gt;1")</f>
        <v>4</v>
      </c>
      <c r="U55" s="9" t="s">
        <v>189</v>
      </c>
      <c r="V55" s="65" t="str">
        <f>IF(Table4[[#This Row],[Observed? Y or N]]="N", "-20", "0")</f>
        <v>0</v>
      </c>
      <c r="W55" s="65">
        <f>Table4[[#This Row],[Total]]+Table4[[#This Row],[Penalty Applied]]</f>
        <v>47</v>
      </c>
      <c r="X55" s="65"/>
    </row>
    <row r="56" spans="5:24" x14ac:dyDescent="0.3">
      <c r="E56" s="59" t="s">
        <v>104</v>
      </c>
      <c r="F56" s="39" t="s">
        <v>123</v>
      </c>
      <c r="G56" s="40"/>
      <c r="H56" s="40">
        <v>7</v>
      </c>
      <c r="I56" s="60"/>
      <c r="J56" s="60">
        <v>10</v>
      </c>
      <c r="K56" s="60"/>
      <c r="L56" s="60"/>
      <c r="M56" s="60"/>
      <c r="N56" s="60"/>
      <c r="O56" s="60">
        <v>13</v>
      </c>
      <c r="P56" s="40">
        <v>11</v>
      </c>
      <c r="Q56" s="40">
        <v>15</v>
      </c>
      <c r="R56" s="39">
        <v>10</v>
      </c>
      <c r="S56" s="45">
        <f>SUM(Table4[[#This Row],[1]:[12]])</f>
        <v>66</v>
      </c>
      <c r="T56" s="41">
        <f>COUNTIF(G56:R56,"&gt;1")</f>
        <v>6</v>
      </c>
      <c r="U56" s="9" t="s">
        <v>80</v>
      </c>
      <c r="V56" s="43" t="str">
        <f>IF(Table4[[#This Row],[Observed? Y or N]]="N", "-20", "0")</f>
        <v>-20</v>
      </c>
      <c r="W56" s="43">
        <f>Table4[[#This Row],[Total]]+Table4[[#This Row],[Penalty Applied]]</f>
        <v>46</v>
      </c>
      <c r="X56" s="65"/>
    </row>
    <row r="57" spans="5:24" x14ac:dyDescent="0.3">
      <c r="E57" s="59" t="s">
        <v>232</v>
      </c>
      <c r="F57" s="59" t="s">
        <v>26</v>
      </c>
      <c r="G57" s="60"/>
      <c r="H57" s="60"/>
      <c r="I57" s="60"/>
      <c r="J57" s="60"/>
      <c r="K57" s="60"/>
      <c r="L57" s="60"/>
      <c r="M57" s="60"/>
      <c r="N57" s="60"/>
      <c r="O57" s="60">
        <v>15</v>
      </c>
      <c r="P57" s="60">
        <v>17</v>
      </c>
      <c r="Q57" s="60">
        <v>17</v>
      </c>
      <c r="R57" s="59">
        <v>17</v>
      </c>
      <c r="S57" s="61">
        <f>SUM(Table4[[#This Row],[1]:[12]])</f>
        <v>66</v>
      </c>
      <c r="T57" s="58">
        <f>COUNTIF(G57:R57,"&gt;1")</f>
        <v>4</v>
      </c>
      <c r="U57" s="80" t="s">
        <v>80</v>
      </c>
      <c r="V57" s="63" t="str">
        <f>IF(Table4[[#This Row],[Observed? Y or N]]="N", "-20", "0")</f>
        <v>-20</v>
      </c>
      <c r="W57" s="63">
        <f>Table4[[#This Row],[Total]]+Table4[[#This Row],[Penalty Applied]]</f>
        <v>46</v>
      </c>
      <c r="X57" s="65"/>
    </row>
    <row r="58" spans="5:24" x14ac:dyDescent="0.3">
      <c r="E58" s="126" t="s">
        <v>142</v>
      </c>
      <c r="F58" s="124" t="s">
        <v>123</v>
      </c>
      <c r="G58" s="127">
        <v>10</v>
      </c>
      <c r="H58" s="127">
        <v>6</v>
      </c>
      <c r="I58" s="60">
        <v>11</v>
      </c>
      <c r="J58" s="60"/>
      <c r="K58" s="60"/>
      <c r="L58" s="60">
        <v>11</v>
      </c>
      <c r="M58" s="60"/>
      <c r="N58" s="60">
        <v>8</v>
      </c>
      <c r="O58" s="60"/>
      <c r="P58" s="127"/>
      <c r="Q58" s="127"/>
      <c r="R58" s="124"/>
      <c r="S58" s="45">
        <f>SUM(Table4[[#This Row],[1]:[12]])</f>
        <v>46</v>
      </c>
      <c r="T58" s="41">
        <f>COUNTIF(G58:R58,"&gt;1")</f>
        <v>5</v>
      </c>
      <c r="U58" s="9" t="s">
        <v>189</v>
      </c>
      <c r="V58" s="65" t="str">
        <f>IF(Table4[[#This Row],[Observed? Y or N]]="N", "-20", "0")</f>
        <v>0</v>
      </c>
      <c r="W58" s="65">
        <f>Table4[[#This Row],[Total]]+Table4[[#This Row],[Penalty Applied]]</f>
        <v>46</v>
      </c>
      <c r="X58" s="65"/>
    </row>
    <row r="59" spans="5:24" x14ac:dyDescent="0.3">
      <c r="E59" s="59" t="s">
        <v>164</v>
      </c>
      <c r="F59" s="39" t="s">
        <v>27</v>
      </c>
      <c r="G59" s="40"/>
      <c r="H59" s="40"/>
      <c r="I59" s="60">
        <v>20</v>
      </c>
      <c r="J59" s="60"/>
      <c r="K59" s="60"/>
      <c r="L59" s="60"/>
      <c r="M59" s="60">
        <v>17</v>
      </c>
      <c r="N59" s="60"/>
      <c r="O59" s="60"/>
      <c r="P59" s="40"/>
      <c r="Q59" s="40"/>
      <c r="R59" s="39"/>
      <c r="S59" s="45">
        <f>SUM(Table4[[#This Row],[1]:[12]])</f>
        <v>37</v>
      </c>
      <c r="T59" s="41">
        <f>COUNTIF(G59:R59,"&gt;1")</f>
        <v>2</v>
      </c>
      <c r="U59" s="9" t="s">
        <v>80</v>
      </c>
      <c r="V59" s="43" t="str">
        <f>IF(Table4[[#This Row],[Observed? Y or N]]="N", "-20", "0")</f>
        <v>-20</v>
      </c>
      <c r="W59" s="43">
        <f>Table4[[#This Row],[Total]]+Table4[[#This Row],[Penalty Applied]]</f>
        <v>17</v>
      </c>
      <c r="X59" s="65"/>
    </row>
    <row r="60" spans="5:24" x14ac:dyDescent="0.3">
      <c r="E60" s="126" t="s">
        <v>228</v>
      </c>
      <c r="F60" s="122" t="s">
        <v>31</v>
      </c>
      <c r="G60" s="127"/>
      <c r="H60" s="127"/>
      <c r="I60" s="130"/>
      <c r="J60" s="130"/>
      <c r="K60" s="130"/>
      <c r="L60" s="130"/>
      <c r="M60" s="130"/>
      <c r="N60" s="130">
        <v>17</v>
      </c>
      <c r="O60" s="130"/>
      <c r="P60" s="127"/>
      <c r="Q60" s="127"/>
      <c r="R60" s="124"/>
      <c r="S60" s="125">
        <f>SUM(Table4[[#This Row],[1]:[12]])</f>
        <v>17</v>
      </c>
      <c r="T60" s="122">
        <f>COUNTIF(G60:R60,"&gt;1")</f>
        <v>1</v>
      </c>
      <c r="U60" s="9" t="s">
        <v>189</v>
      </c>
      <c r="V60" s="65" t="str">
        <f>IF(Table4[[#This Row],[Observed? Y or N]]="N", "-20", "0")</f>
        <v>0</v>
      </c>
      <c r="W60" s="65">
        <f>Table4[[#This Row],[Total]]+Table4[[#This Row],[Penalty Applied]]</f>
        <v>17</v>
      </c>
      <c r="X60" s="65"/>
    </row>
    <row r="61" spans="5:24" ht="16.5" customHeight="1" x14ac:dyDescent="0.3">
      <c r="E61" s="59" t="s">
        <v>214</v>
      </c>
      <c r="F61" s="59" t="s">
        <v>30</v>
      </c>
      <c r="G61" s="60"/>
      <c r="H61" s="60"/>
      <c r="I61" s="60"/>
      <c r="J61" s="60"/>
      <c r="K61" s="60"/>
      <c r="L61" s="60"/>
      <c r="M61" s="60">
        <v>20</v>
      </c>
      <c r="N61" s="60">
        <v>15</v>
      </c>
      <c r="O61" s="60"/>
      <c r="P61" s="60"/>
      <c r="Q61" s="60"/>
      <c r="R61" s="59"/>
      <c r="S61" s="61">
        <f>SUM(Table4[[#This Row],[1]:[12]])</f>
        <v>35</v>
      </c>
      <c r="T61" s="58">
        <f>COUNTIF(G61:R61,"&gt;1")</f>
        <v>2</v>
      </c>
      <c r="U61" s="9" t="s">
        <v>80</v>
      </c>
      <c r="V61" s="63" t="str">
        <f>IF(Table4[[#This Row],[Observed? Y or N]]="N", "-20", "0")</f>
        <v>-20</v>
      </c>
      <c r="W61" s="63">
        <f>Table4[[#This Row],[Total]]+Table4[[#This Row],[Penalty Applied]]</f>
        <v>15</v>
      </c>
      <c r="X61" s="65"/>
    </row>
    <row r="62" spans="5:24" x14ac:dyDescent="0.3">
      <c r="E62" s="59" t="s">
        <v>172</v>
      </c>
      <c r="F62" s="41" t="s">
        <v>31</v>
      </c>
      <c r="G62" s="68"/>
      <c r="H62" s="68"/>
      <c r="I62" s="81"/>
      <c r="J62" s="81">
        <v>20</v>
      </c>
      <c r="K62" s="81"/>
      <c r="L62" s="81"/>
      <c r="M62" s="81">
        <v>13</v>
      </c>
      <c r="N62" s="81"/>
      <c r="O62" s="60"/>
      <c r="P62" s="68"/>
      <c r="Q62" s="68"/>
      <c r="R62" s="39"/>
      <c r="S62" s="45">
        <f>SUM(Table4[[#This Row],[1]:[12]])</f>
        <v>33</v>
      </c>
      <c r="T62" s="41">
        <f>COUNTIF(G62:R62,"&gt;1")</f>
        <v>2</v>
      </c>
      <c r="U62" s="9" t="s">
        <v>80</v>
      </c>
      <c r="V62" s="43" t="str">
        <f>IF(Table4[[#This Row],[Observed? Y or N]]="N", "-20", "0")</f>
        <v>-20</v>
      </c>
      <c r="W62" s="43">
        <f>Table4[[#This Row],[Total]]+Table4[[#This Row],[Penalty Applied]]</f>
        <v>13</v>
      </c>
      <c r="X62" s="65"/>
    </row>
    <row r="63" spans="5:24" x14ac:dyDescent="0.3">
      <c r="E63" s="126" t="s">
        <v>235</v>
      </c>
      <c r="F63" s="122" t="s">
        <v>31</v>
      </c>
      <c r="G63" s="127"/>
      <c r="H63" s="127"/>
      <c r="I63" s="127"/>
      <c r="J63" s="127"/>
      <c r="K63" s="127"/>
      <c r="L63" s="127"/>
      <c r="M63" s="127"/>
      <c r="N63" s="127"/>
      <c r="O63" s="127"/>
      <c r="P63" s="127">
        <v>13</v>
      </c>
      <c r="Q63" s="127"/>
      <c r="R63" s="124"/>
      <c r="S63" s="125">
        <f>SUM(Table4[[#This Row],[1]:[12]])</f>
        <v>13</v>
      </c>
      <c r="T63" s="122">
        <f>COUNTIF(G63:R63,"&gt;1")</f>
        <v>1</v>
      </c>
      <c r="U63" s="9" t="s">
        <v>189</v>
      </c>
      <c r="V63" s="65" t="str">
        <f>IF(Table4[[#This Row],[Observed? Y or N]]="N", "-20", "0")</f>
        <v>0</v>
      </c>
      <c r="W63" s="65">
        <f>Table4[[#This Row],[Total]]+Table4[[#This Row],[Penalty Applied]]</f>
        <v>13</v>
      </c>
      <c r="X63" s="65"/>
    </row>
    <row r="64" spans="5:24" x14ac:dyDescent="0.3">
      <c r="E64" s="126" t="s">
        <v>77</v>
      </c>
      <c r="F64" s="124" t="s">
        <v>26</v>
      </c>
      <c r="G64" s="127"/>
      <c r="H64" s="127">
        <v>4</v>
      </c>
      <c r="I64" s="60"/>
      <c r="J64" s="60"/>
      <c r="K64" s="60">
        <v>8</v>
      </c>
      <c r="L64" s="60"/>
      <c r="M64" s="60"/>
      <c r="N64" s="60"/>
      <c r="O64" s="60"/>
      <c r="P64" s="127"/>
      <c r="Q64" s="127"/>
      <c r="R64" s="124"/>
      <c r="S64" s="125">
        <f>SUM(Table4[[#This Row],[1]:[12]])</f>
        <v>12</v>
      </c>
      <c r="T64" s="122">
        <f>COUNTIF(G64:R64,"&gt;1")</f>
        <v>2</v>
      </c>
      <c r="U64" s="9" t="s">
        <v>189</v>
      </c>
      <c r="V64" s="65" t="str">
        <f>IF(Table4[[#This Row],[Observed? Y or N]]="N", "-20", "0")</f>
        <v>0</v>
      </c>
      <c r="W64" s="65">
        <f>Table4[[#This Row],[Total]]+Table4[[#This Row],[Penalty Applied]]</f>
        <v>12</v>
      </c>
      <c r="X64" s="65"/>
    </row>
    <row r="65" spans="5:26" x14ac:dyDescent="0.3">
      <c r="E65" s="59" t="s">
        <v>62</v>
      </c>
      <c r="F65" s="39" t="s">
        <v>26</v>
      </c>
      <c r="G65" s="40"/>
      <c r="H65" s="40">
        <v>3</v>
      </c>
      <c r="I65" s="60"/>
      <c r="J65" s="60"/>
      <c r="K65" s="60"/>
      <c r="L65" s="60">
        <v>17</v>
      </c>
      <c r="M65" s="60"/>
      <c r="N65" s="60">
        <v>11</v>
      </c>
      <c r="O65" s="60"/>
      <c r="P65" s="40"/>
      <c r="Q65" s="40"/>
      <c r="R65" s="39"/>
      <c r="S65" s="45">
        <f>SUM(Table4[[#This Row],[1]:[12]])</f>
        <v>31</v>
      </c>
      <c r="T65" s="41">
        <f>COUNTIF(G65:R65,"&gt;1")</f>
        <v>3</v>
      </c>
      <c r="U65" s="9" t="s">
        <v>80</v>
      </c>
      <c r="V65" s="43" t="str">
        <f>IF(Table4[[#This Row],[Observed? Y or N]]="N", "-20", "0")</f>
        <v>-20</v>
      </c>
      <c r="W65" s="43">
        <f>Table4[[#This Row],[Total]]+Table4[[#This Row],[Penalty Applied]]</f>
        <v>11</v>
      </c>
      <c r="X65" s="65"/>
    </row>
    <row r="66" spans="5:26" x14ac:dyDescent="0.3">
      <c r="E66" s="59" t="s">
        <v>108</v>
      </c>
      <c r="F66" s="59" t="s">
        <v>123</v>
      </c>
      <c r="G66" s="60"/>
      <c r="H66" s="60"/>
      <c r="I66" s="60"/>
      <c r="J66" s="60"/>
      <c r="K66" s="60"/>
      <c r="L66" s="60"/>
      <c r="M66" s="60"/>
      <c r="N66" s="60"/>
      <c r="O66" s="60">
        <v>10</v>
      </c>
      <c r="P66" s="60">
        <v>10</v>
      </c>
      <c r="Q66" s="60">
        <v>10</v>
      </c>
      <c r="R66" s="59"/>
      <c r="S66" s="61">
        <f>SUM(Table4[[#This Row],[1]:[12]])</f>
        <v>30</v>
      </c>
      <c r="T66" s="58">
        <f>COUNTIF(G66:R66,"&gt;1")</f>
        <v>3</v>
      </c>
      <c r="U66" s="9" t="s">
        <v>80</v>
      </c>
      <c r="V66" s="63" t="str">
        <f>IF(Table4[[#This Row],[Observed? Y or N]]="N", "-20", "0")</f>
        <v>-20</v>
      </c>
      <c r="W66" s="63">
        <f>Table4[[#This Row],[Total]]+Table4[[#This Row],[Penalty Applied]]</f>
        <v>10</v>
      </c>
      <c r="X66" s="65"/>
    </row>
    <row r="67" spans="5:26" x14ac:dyDescent="0.3">
      <c r="E67" s="126" t="s">
        <v>149</v>
      </c>
      <c r="F67" s="124"/>
      <c r="G67" s="127"/>
      <c r="H67" s="127"/>
      <c r="I67" s="60"/>
      <c r="J67" s="60"/>
      <c r="K67" s="60"/>
      <c r="L67" s="60"/>
      <c r="M67" s="60">
        <v>9</v>
      </c>
      <c r="N67" s="60"/>
      <c r="O67" s="60"/>
      <c r="P67" s="127"/>
      <c r="Q67" s="127"/>
      <c r="R67" s="124"/>
      <c r="S67" s="61">
        <f>SUM(Table4[[#This Row],[1]:[12]])</f>
        <v>9</v>
      </c>
      <c r="T67" s="58">
        <f>COUNTIF(G67:R67,"&gt;1")</f>
        <v>1</v>
      </c>
      <c r="U67" s="9" t="s">
        <v>189</v>
      </c>
      <c r="V67" s="65" t="str">
        <f>IF(Table4[[#This Row],[Observed? Y or N]]="N", "-20", "0")</f>
        <v>0</v>
      </c>
      <c r="W67" s="65">
        <f>Table4[[#This Row],[Total]]+Table4[[#This Row],[Penalty Applied]]</f>
        <v>9</v>
      </c>
      <c r="X67" s="65"/>
    </row>
    <row r="68" spans="5:26" x14ac:dyDescent="0.3">
      <c r="E68" s="59" t="s">
        <v>213</v>
      </c>
      <c r="F68" s="41" t="s">
        <v>123</v>
      </c>
      <c r="G68" s="40"/>
      <c r="H68" s="40"/>
      <c r="I68" s="60"/>
      <c r="J68" s="60"/>
      <c r="K68" s="60"/>
      <c r="L68" s="60"/>
      <c r="M68" s="60"/>
      <c r="N68" s="60">
        <v>20</v>
      </c>
      <c r="O68" s="60"/>
      <c r="P68" s="40"/>
      <c r="Q68" s="40"/>
      <c r="R68" s="39"/>
      <c r="S68" s="45">
        <f>SUM(Table4[[#This Row],[1]:[12]])</f>
        <v>20</v>
      </c>
      <c r="T68" s="41">
        <f>COUNTIF(G68:R68,"&gt;1")</f>
        <v>1</v>
      </c>
      <c r="U68" s="9" t="s">
        <v>80</v>
      </c>
      <c r="V68" s="43" t="str">
        <f>IF(Table4[[#This Row],[Observed? Y or N]]="N", "-20", "0")</f>
        <v>-20</v>
      </c>
      <c r="W68" s="43">
        <f>Table4[[#This Row],[Total]]+Table4[[#This Row],[Penalty Applied]]</f>
        <v>0</v>
      </c>
      <c r="X68" s="65"/>
    </row>
    <row r="69" spans="5:26" x14ac:dyDescent="0.3">
      <c r="E69" s="59" t="s">
        <v>116</v>
      </c>
      <c r="F69" s="41" t="s">
        <v>52</v>
      </c>
      <c r="G69" s="40">
        <v>9</v>
      </c>
      <c r="H69" s="40">
        <v>10</v>
      </c>
      <c r="I69" s="60"/>
      <c r="J69" s="60"/>
      <c r="K69" s="60"/>
      <c r="L69" s="60"/>
      <c r="M69" s="60"/>
      <c r="N69" s="60"/>
      <c r="O69" s="60"/>
      <c r="P69" s="40"/>
      <c r="Q69" s="40"/>
      <c r="R69" s="39"/>
      <c r="S69" s="45">
        <f>SUM(Table4[[#This Row],[1]:[12]])</f>
        <v>19</v>
      </c>
      <c r="T69" s="41">
        <f>COUNTIF(G69:R69,"&gt;1")</f>
        <v>2</v>
      </c>
      <c r="U69" s="9" t="s">
        <v>80</v>
      </c>
      <c r="V69" s="43" t="str">
        <f>IF(Table4[[#This Row],[Observed? Y or N]]="N", "-20", "0")</f>
        <v>-20</v>
      </c>
      <c r="W69" s="43">
        <f>Table4[[#This Row],[Total]]+Table4[[#This Row],[Penalty Applied]]</f>
        <v>-1</v>
      </c>
      <c r="X69" s="65"/>
    </row>
    <row r="70" spans="5:26" x14ac:dyDescent="0.3">
      <c r="E70" s="59" t="s">
        <v>168</v>
      </c>
      <c r="F70" s="59" t="s">
        <v>27</v>
      </c>
      <c r="G70" s="60">
        <v>15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59"/>
      <c r="S70" s="61">
        <f>SUM(Table4[[#This Row],[1]:[12]])</f>
        <v>15</v>
      </c>
      <c r="T70" s="58">
        <f>COUNTIF(G70:R70,"&gt;1")</f>
        <v>1</v>
      </c>
      <c r="U70" s="9" t="s">
        <v>80</v>
      </c>
      <c r="V70" s="43" t="str">
        <f>IF(Table4[[#This Row],[Observed? Y or N]]="N", "-20", "0")</f>
        <v>-20</v>
      </c>
      <c r="W70" s="63">
        <f>Table4[[#This Row],[Total]]+Table4[[#This Row],[Penalty Applied]]</f>
        <v>-5</v>
      </c>
      <c r="X70" s="65"/>
    </row>
    <row r="71" spans="5:26" x14ac:dyDescent="0.3">
      <c r="E71" s="59" t="s">
        <v>210</v>
      </c>
      <c r="F71" s="41" t="s">
        <v>26</v>
      </c>
      <c r="G71" s="40"/>
      <c r="H71" s="40"/>
      <c r="I71" s="60"/>
      <c r="J71" s="60"/>
      <c r="K71" s="60"/>
      <c r="L71" s="60">
        <v>15</v>
      </c>
      <c r="M71" s="60"/>
      <c r="N71" s="60"/>
      <c r="O71" s="60"/>
      <c r="P71" s="40"/>
      <c r="Q71" s="40"/>
      <c r="R71" s="39"/>
      <c r="S71" s="45">
        <f>SUM(Table4[[#This Row],[1]:[12]])</f>
        <v>15</v>
      </c>
      <c r="T71" s="41">
        <f>COUNTIF(G71:R71,"&gt;1")</f>
        <v>1</v>
      </c>
      <c r="U71" s="9" t="s">
        <v>80</v>
      </c>
      <c r="V71" s="43" t="str">
        <f>IF(Table4[[#This Row],[Observed? Y or N]]="N", "-20", "0")</f>
        <v>-20</v>
      </c>
      <c r="W71" s="43">
        <f>Table4[[#This Row],[Total]]+Table4[[#This Row],[Penalty Applied]]</f>
        <v>-5</v>
      </c>
      <c r="X71" s="65"/>
    </row>
    <row r="72" spans="5:26" x14ac:dyDescent="0.3">
      <c r="E72" s="59" t="s">
        <v>173</v>
      </c>
      <c r="F72" s="41" t="s">
        <v>121</v>
      </c>
      <c r="G72" s="40"/>
      <c r="H72" s="40"/>
      <c r="I72" s="60"/>
      <c r="J72" s="60">
        <v>11</v>
      </c>
      <c r="K72" s="60"/>
      <c r="L72" s="60"/>
      <c r="M72" s="60"/>
      <c r="N72" s="60"/>
      <c r="O72" s="60"/>
      <c r="P72" s="40"/>
      <c r="Q72" s="40"/>
      <c r="R72" s="39"/>
      <c r="S72" s="45">
        <f>SUM(Table4[[#This Row],[1]:[12]])</f>
        <v>11</v>
      </c>
      <c r="T72" s="41">
        <f>COUNTIF(G72:R72,"&gt;1")</f>
        <v>1</v>
      </c>
      <c r="U72" s="9" t="s">
        <v>80</v>
      </c>
      <c r="V72" s="43" t="str">
        <f>IF(Table4[[#This Row],[Observed? Y or N]]="N", "-20", "0")</f>
        <v>-20</v>
      </c>
      <c r="W72" s="43">
        <f>Table4[[#This Row],[Total]]+Table4[[#This Row],[Penalty Applied]]</f>
        <v>-9</v>
      </c>
      <c r="X72" s="65"/>
    </row>
    <row r="73" spans="5:26" x14ac:dyDescent="0.3">
      <c r="E73" s="59" t="s">
        <v>148</v>
      </c>
      <c r="F73" s="41" t="s">
        <v>123</v>
      </c>
      <c r="G73" s="40"/>
      <c r="H73" s="40"/>
      <c r="I73" s="60"/>
      <c r="J73" s="60"/>
      <c r="K73" s="60"/>
      <c r="L73" s="60"/>
      <c r="M73" s="60">
        <v>10</v>
      </c>
      <c r="N73" s="60"/>
      <c r="O73" s="60"/>
      <c r="P73" s="40"/>
      <c r="Q73" s="40"/>
      <c r="R73" s="39"/>
      <c r="S73" s="45">
        <f>SUM(Table4[[#This Row],[1]:[12]])</f>
        <v>10</v>
      </c>
      <c r="T73" s="41">
        <f>COUNTIF(G73:R73,"&gt;1")</f>
        <v>1</v>
      </c>
      <c r="U73" s="9" t="s">
        <v>80</v>
      </c>
      <c r="V73" s="43" t="str">
        <f>IF(Table4[[#This Row],[Observed? Y or N]]="N", "-20", "0")</f>
        <v>-20</v>
      </c>
      <c r="W73" s="43">
        <f>Table4[[#This Row],[Total]]+Table4[[#This Row],[Penalty Applied]]</f>
        <v>-10</v>
      </c>
      <c r="X73" s="65"/>
    </row>
    <row r="74" spans="5:26" x14ac:dyDescent="0.3">
      <c r="E74" s="59" t="s">
        <v>192</v>
      </c>
      <c r="F74" s="39" t="s">
        <v>26</v>
      </c>
      <c r="G74" s="40"/>
      <c r="H74" s="40"/>
      <c r="I74" s="60"/>
      <c r="J74" s="60"/>
      <c r="K74" s="60">
        <v>7</v>
      </c>
      <c r="L74" s="60"/>
      <c r="M74" s="60"/>
      <c r="N74" s="60"/>
      <c r="O74" s="60"/>
      <c r="P74" s="40"/>
      <c r="Q74" s="40"/>
      <c r="R74" s="39"/>
      <c r="S74" s="45">
        <f>SUM(Table4[[#This Row],[1]:[12]])</f>
        <v>7</v>
      </c>
      <c r="T74" s="41">
        <f>COUNTIF(G74:R74,"&gt;1")</f>
        <v>1</v>
      </c>
      <c r="U74" s="9" t="s">
        <v>80</v>
      </c>
      <c r="V74" s="43" t="str">
        <f>IF(Table4[[#This Row],[Observed? Y or N]]="N", "-20", "0")</f>
        <v>-20</v>
      </c>
      <c r="W74" s="43">
        <f>Table4[[#This Row],[Total]]+Table4[[#This Row],[Penalty Applied]]</f>
        <v>-13</v>
      </c>
      <c r="X74" s="65"/>
    </row>
    <row r="75" spans="5:26" x14ac:dyDescent="0.3">
      <c r="E75" s="59"/>
      <c r="F75" s="41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39"/>
      <c r="S75" s="45">
        <f>SUM(Table4[[#This Row],[1]:[12]])</f>
        <v>0</v>
      </c>
      <c r="T75" s="41">
        <f>COUNTIF(G75:R75,"&gt;1")</f>
        <v>0</v>
      </c>
      <c r="U75" s="9" t="s">
        <v>80</v>
      </c>
      <c r="V75" s="43" t="str">
        <f>IF(Table4[[#This Row],[Observed? Y or N]]="N", "-20", "0")</f>
        <v>-20</v>
      </c>
      <c r="W75" s="43">
        <f>Table4[[#This Row],[Total]]+Table4[[#This Row],[Penalty Applied]]</f>
        <v>-20</v>
      </c>
      <c r="X75" s="65"/>
    </row>
    <row r="76" spans="5:26" ht="15" x14ac:dyDescent="0.3">
      <c r="E76" s="9"/>
      <c r="Q76" s="9"/>
      <c r="R76" s="10"/>
      <c r="Y76" s="33"/>
    </row>
    <row r="77" spans="5:26" ht="15.6" thickBot="1" x14ac:dyDescent="0.35">
      <c r="Y77" s="33"/>
    </row>
    <row r="78" spans="5:26" ht="153" thickBot="1" x14ac:dyDescent="0.35">
      <c r="E78" s="36" t="s">
        <v>36</v>
      </c>
      <c r="F78" s="36" t="s">
        <v>137</v>
      </c>
      <c r="G78" s="35" t="s">
        <v>88</v>
      </c>
      <c r="H78" s="35" t="s">
        <v>89</v>
      </c>
      <c r="I78" s="35" t="s">
        <v>90</v>
      </c>
      <c r="J78" s="35" t="s">
        <v>91</v>
      </c>
      <c r="K78" s="35" t="s">
        <v>92</v>
      </c>
      <c r="L78" s="35" t="s">
        <v>93</v>
      </c>
      <c r="M78" s="35" t="s">
        <v>94</v>
      </c>
      <c r="N78" s="35" t="s">
        <v>95</v>
      </c>
      <c r="O78" s="35" t="s">
        <v>96</v>
      </c>
      <c r="P78" s="35" t="s">
        <v>97</v>
      </c>
      <c r="Q78" s="35" t="s">
        <v>98</v>
      </c>
      <c r="R78" s="35" t="s">
        <v>99</v>
      </c>
      <c r="S78" s="7" t="s">
        <v>32</v>
      </c>
      <c r="T78" s="7" t="s">
        <v>43</v>
      </c>
      <c r="U78" s="82" t="s">
        <v>78</v>
      </c>
      <c r="V78" s="7" t="s">
        <v>81</v>
      </c>
      <c r="W78" s="32" t="s">
        <v>79</v>
      </c>
      <c r="X78" s="32" t="s">
        <v>15</v>
      </c>
      <c r="Z78" s="33"/>
    </row>
    <row r="79" spans="5:26" ht="15.6" thickBot="1" x14ac:dyDescent="0.35">
      <c r="E79" s="126" t="s">
        <v>149</v>
      </c>
      <c r="F79" s="131" t="s">
        <v>124</v>
      </c>
      <c r="G79" s="133">
        <v>15</v>
      </c>
      <c r="H79" s="133">
        <v>10</v>
      </c>
      <c r="I79" s="142">
        <v>20</v>
      </c>
      <c r="J79" s="142">
        <v>20</v>
      </c>
      <c r="K79" s="142">
        <v>17</v>
      </c>
      <c r="L79" s="142">
        <v>17</v>
      </c>
      <c r="M79" s="142"/>
      <c r="N79" s="142">
        <v>17</v>
      </c>
      <c r="O79" s="130"/>
      <c r="P79" s="133">
        <v>15</v>
      </c>
      <c r="Q79" s="133">
        <v>6</v>
      </c>
      <c r="R79" s="134">
        <v>15</v>
      </c>
      <c r="S79" s="131">
        <f>SUM(G79:R79)</f>
        <v>152</v>
      </c>
      <c r="T79" s="131">
        <f t="shared" ref="T79:T99" si="3">COUNTIF(G79:R79,"&gt;1")</f>
        <v>10</v>
      </c>
      <c r="U79" s="9" t="s">
        <v>189</v>
      </c>
      <c r="V79" s="72" t="str">
        <f>IF(Table5[[#This Row],[Observed? Y or N]]="N", "-20", "0")</f>
        <v>0</v>
      </c>
      <c r="W79" s="65">
        <f>Table5[[#This Row],[Total]]+Table5[[#This Row],[Penalty Applied]]-Table5[[#This Row],[11]]-Table5[[#This Row],[2]]</f>
        <v>136</v>
      </c>
      <c r="X79" s="72" t="s">
        <v>0</v>
      </c>
      <c r="Z79" s="33"/>
    </row>
    <row r="80" spans="5:26" ht="15.6" thickBot="1" x14ac:dyDescent="0.35">
      <c r="E80" s="126" t="s">
        <v>148</v>
      </c>
      <c r="F80" s="124" t="s">
        <v>123</v>
      </c>
      <c r="G80" s="127">
        <v>17</v>
      </c>
      <c r="H80" s="127">
        <v>11</v>
      </c>
      <c r="I80" s="60"/>
      <c r="J80" s="60">
        <v>15</v>
      </c>
      <c r="K80" s="60"/>
      <c r="L80" s="60">
        <v>20</v>
      </c>
      <c r="M80" s="60"/>
      <c r="N80" s="60">
        <v>20</v>
      </c>
      <c r="O80" s="60">
        <v>15</v>
      </c>
      <c r="P80" s="127">
        <v>17</v>
      </c>
      <c r="Q80" s="127">
        <v>13</v>
      </c>
      <c r="R80" s="124">
        <v>17</v>
      </c>
      <c r="S80" s="131">
        <f>SUM(Table5[[#This Row],[Club]:[12]])</f>
        <v>145</v>
      </c>
      <c r="T80" s="122">
        <f t="shared" si="3"/>
        <v>9</v>
      </c>
      <c r="U80" s="9" t="s">
        <v>189</v>
      </c>
      <c r="V80" s="65" t="str">
        <f>IF(Table5[[#This Row],[Observed? Y or N]]="N", "-20", "0")</f>
        <v>0</v>
      </c>
      <c r="W80" s="65">
        <f>Table5[[#This Row],[Total]]+Table5[[#This Row],[Penalty Applied]]-Table5[[#This Row],[2]]</f>
        <v>134</v>
      </c>
      <c r="X80" s="65" t="s">
        <v>1</v>
      </c>
      <c r="Z80" s="33"/>
    </row>
    <row r="81" spans="5:26" ht="15" x14ac:dyDescent="0.3">
      <c r="E81" s="59" t="s">
        <v>146</v>
      </c>
      <c r="F81" s="39" t="s">
        <v>123</v>
      </c>
      <c r="G81" s="40"/>
      <c r="H81" s="40">
        <v>17</v>
      </c>
      <c r="I81" s="60"/>
      <c r="J81" s="60"/>
      <c r="K81" s="60">
        <v>20</v>
      </c>
      <c r="L81" s="60"/>
      <c r="M81" s="60"/>
      <c r="N81" s="60"/>
      <c r="O81" s="60">
        <v>20</v>
      </c>
      <c r="P81" s="40">
        <v>20</v>
      </c>
      <c r="Q81" s="40"/>
      <c r="R81" s="39">
        <v>20</v>
      </c>
      <c r="S81" s="42">
        <f>SUM(Table5[[#This Row],[Club]:[12]])</f>
        <v>97</v>
      </c>
      <c r="T81" s="41">
        <f t="shared" si="3"/>
        <v>5</v>
      </c>
      <c r="U81" s="9" t="s">
        <v>80</v>
      </c>
      <c r="V81" s="43" t="str">
        <f>IF(Table5[[#This Row],[Observed? Y or N]]="N", "-20", "0")</f>
        <v>-20</v>
      </c>
      <c r="W81" s="43">
        <f>Table5[[#This Row],[Total]]+Table5[[#This Row],[Penalty Applied]]</f>
        <v>77</v>
      </c>
      <c r="X81" s="65" t="s">
        <v>2</v>
      </c>
      <c r="Z81" s="33"/>
    </row>
    <row r="82" spans="5:26" x14ac:dyDescent="0.3">
      <c r="E82" s="126" t="s">
        <v>126</v>
      </c>
      <c r="F82" s="122" t="s">
        <v>31</v>
      </c>
      <c r="G82" s="127">
        <v>20</v>
      </c>
      <c r="H82" s="127"/>
      <c r="I82" s="60"/>
      <c r="J82" s="130">
        <v>17</v>
      </c>
      <c r="K82" s="60"/>
      <c r="L82" s="60"/>
      <c r="M82" s="60"/>
      <c r="N82" s="60"/>
      <c r="O82" s="60"/>
      <c r="P82" s="127">
        <v>13</v>
      </c>
      <c r="Q82" s="127">
        <v>10</v>
      </c>
      <c r="R82" s="124"/>
      <c r="S82" s="122">
        <f>SUM(Table5[[#This Row],[Club]:[12]])</f>
        <v>60</v>
      </c>
      <c r="T82" s="122">
        <f t="shared" si="3"/>
        <v>4</v>
      </c>
      <c r="U82" s="9" t="s">
        <v>189</v>
      </c>
      <c r="V82" s="65" t="str">
        <f>IF(Table5[[#This Row],[Observed? Y or N]]="N", "-20", "0")</f>
        <v>0</v>
      </c>
      <c r="W82" s="65">
        <f>Table5[[#This Row],[Total]]+Table5[[#This Row],[Penalty Applied]]</f>
        <v>60</v>
      </c>
      <c r="X82" s="65"/>
    </row>
    <row r="83" spans="5:26" x14ac:dyDescent="0.3">
      <c r="E83" s="59" t="s">
        <v>212</v>
      </c>
      <c r="F83" s="41" t="s">
        <v>27</v>
      </c>
      <c r="G83" s="40"/>
      <c r="H83" s="40"/>
      <c r="I83" s="40"/>
      <c r="J83" s="40"/>
      <c r="K83" s="40"/>
      <c r="L83" s="40"/>
      <c r="M83" s="40"/>
      <c r="N83" s="40"/>
      <c r="O83" s="40">
        <v>17</v>
      </c>
      <c r="P83" s="40">
        <v>11</v>
      </c>
      <c r="Q83" s="40">
        <v>15</v>
      </c>
      <c r="R83" s="39"/>
      <c r="S83" s="41">
        <f>SUM(G83:R83)</f>
        <v>43</v>
      </c>
      <c r="T83" s="41">
        <f t="shared" si="3"/>
        <v>3</v>
      </c>
      <c r="U83" s="9" t="s">
        <v>80</v>
      </c>
      <c r="V83" s="43" t="str">
        <f>IF(Table5[[#This Row],[Observed? Y or N]]="N", "-20", "0")</f>
        <v>-20</v>
      </c>
      <c r="W83" s="43">
        <f>Table5[[#This Row],[Total]]+Table5[[#This Row],[Penalty Applied]]</f>
        <v>23</v>
      </c>
      <c r="X83" s="65"/>
    </row>
    <row r="84" spans="5:26" x14ac:dyDescent="0.3">
      <c r="E84" s="126" t="s">
        <v>228</v>
      </c>
      <c r="F84" s="126" t="s">
        <v>31</v>
      </c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>
        <v>17</v>
      </c>
      <c r="R84" s="126"/>
      <c r="S84" s="132">
        <f>SUM(G84:R84)</f>
        <v>17</v>
      </c>
      <c r="T84" s="132">
        <f t="shared" si="3"/>
        <v>1</v>
      </c>
      <c r="U84" s="62" t="s">
        <v>189</v>
      </c>
      <c r="V84" s="51" t="str">
        <f>IF(Table5[[#This Row],[Observed? Y or N]]="N", "-20", "0")</f>
        <v>0</v>
      </c>
      <c r="W84" s="51">
        <f>Table5[[#This Row],[Total]]+Table5[[#This Row],[Penalty Applied]]</f>
        <v>17</v>
      </c>
      <c r="X84" s="51"/>
    </row>
    <row r="85" spans="5:26" x14ac:dyDescent="0.3">
      <c r="E85" s="59" t="s">
        <v>179</v>
      </c>
      <c r="F85" s="39" t="s">
        <v>121</v>
      </c>
      <c r="G85" s="40"/>
      <c r="H85" s="40"/>
      <c r="I85" s="60"/>
      <c r="J85" s="60">
        <v>11</v>
      </c>
      <c r="K85" s="60"/>
      <c r="L85" s="60"/>
      <c r="M85" s="60"/>
      <c r="N85" s="60"/>
      <c r="O85" s="60">
        <v>13</v>
      </c>
      <c r="P85" s="40"/>
      <c r="Q85" s="40">
        <v>4</v>
      </c>
      <c r="R85" s="39"/>
      <c r="S85" s="41">
        <f>SUM(G85:R85)</f>
        <v>28</v>
      </c>
      <c r="T85" s="41">
        <f t="shared" si="3"/>
        <v>3</v>
      </c>
      <c r="U85" s="9" t="s">
        <v>80</v>
      </c>
      <c r="V85" s="43" t="str">
        <f>IF(Table5[[#This Row],[Observed? Y or N]]="N", "-20", "0")</f>
        <v>-20</v>
      </c>
      <c r="W85" s="43">
        <f>Table5[[#This Row],[Total]]+Table5[[#This Row],[Penalty Applied]]</f>
        <v>8</v>
      </c>
      <c r="X85" s="65"/>
    </row>
    <row r="86" spans="5:26" x14ac:dyDescent="0.3">
      <c r="E86" s="126" t="s">
        <v>253</v>
      </c>
      <c r="F86" s="126" t="s">
        <v>31</v>
      </c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>
        <v>5</v>
      </c>
      <c r="R86" s="126"/>
      <c r="S86" s="132">
        <f>SUM(G86:R86)</f>
        <v>5</v>
      </c>
      <c r="T86" s="132">
        <f t="shared" si="3"/>
        <v>1</v>
      </c>
      <c r="U86" s="62" t="s">
        <v>189</v>
      </c>
      <c r="V86" s="51" t="str">
        <f>IF(Table5[[#This Row],[Observed? Y or N]]="N", "-20", "0")</f>
        <v>0</v>
      </c>
      <c r="W86" s="51">
        <f>Table5[[#This Row],[Total]]+Table5[[#This Row],[Penalty Applied]]</f>
        <v>5</v>
      </c>
      <c r="X86" s="51"/>
    </row>
    <row r="87" spans="5:26" x14ac:dyDescent="0.3">
      <c r="E87" s="59" t="s">
        <v>127</v>
      </c>
      <c r="F87" s="39" t="s">
        <v>27</v>
      </c>
      <c r="G87" s="68"/>
      <c r="H87" s="68">
        <v>20</v>
      </c>
      <c r="I87" s="81"/>
      <c r="J87" s="81"/>
      <c r="K87" s="81"/>
      <c r="L87" s="81"/>
      <c r="M87" s="81"/>
      <c r="N87" s="81"/>
      <c r="O87" s="60"/>
      <c r="P87" s="68"/>
      <c r="Q87" s="68"/>
      <c r="R87" s="39"/>
      <c r="S87" s="41">
        <f>SUM(Table5[[#This Row],[Club]:[12]])</f>
        <v>20</v>
      </c>
      <c r="T87" s="41">
        <f t="shared" si="3"/>
        <v>1</v>
      </c>
      <c r="U87" s="9" t="s">
        <v>80</v>
      </c>
      <c r="V87" s="43" t="str">
        <f>IF(Table5[[#This Row],[Observed? Y or N]]="N", "-20", "0")</f>
        <v>-20</v>
      </c>
      <c r="W87" s="43">
        <f>Table5[[#This Row],[Total]]+Table5[[#This Row],[Penalty Applied]]</f>
        <v>0</v>
      </c>
      <c r="X87" s="65"/>
    </row>
    <row r="88" spans="5:26" x14ac:dyDescent="0.3">
      <c r="E88" s="59" t="s">
        <v>249</v>
      </c>
      <c r="F88" s="39" t="s">
        <v>31</v>
      </c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>
        <v>20</v>
      </c>
      <c r="R88" s="39"/>
      <c r="S88" s="41">
        <f>SUM(G88:R88)</f>
        <v>20</v>
      </c>
      <c r="T88" s="41">
        <f t="shared" si="3"/>
        <v>1</v>
      </c>
      <c r="U88" s="9" t="s">
        <v>80</v>
      </c>
      <c r="V88" s="43" t="str">
        <f>IF(Table5[[#This Row],[Observed? Y or N]]="N", "-20", "0")</f>
        <v>-20</v>
      </c>
      <c r="W88" s="43">
        <f>Table5[[#This Row],[Total]]+Table5[[#This Row],[Penalty Applied]]</f>
        <v>0</v>
      </c>
      <c r="X88" s="65"/>
    </row>
    <row r="89" spans="5:26" x14ac:dyDescent="0.3">
      <c r="E89" s="59" t="s">
        <v>128</v>
      </c>
      <c r="F89" s="39" t="s">
        <v>31</v>
      </c>
      <c r="G89" s="68"/>
      <c r="H89" s="68">
        <v>15</v>
      </c>
      <c r="I89" s="81"/>
      <c r="J89" s="81"/>
      <c r="K89" s="81"/>
      <c r="L89" s="81"/>
      <c r="M89" s="81"/>
      <c r="N89" s="81"/>
      <c r="O89" s="60"/>
      <c r="P89" s="68"/>
      <c r="Q89" s="68"/>
      <c r="R89" s="39"/>
      <c r="S89" s="41">
        <f>SUM(Table5[[#This Row],[Club]:[12]])</f>
        <v>15</v>
      </c>
      <c r="T89" s="41">
        <f t="shared" si="3"/>
        <v>1</v>
      </c>
      <c r="U89" s="9" t="s">
        <v>80</v>
      </c>
      <c r="V89" s="43" t="str">
        <f>IF(Table5[[#This Row],[Observed? Y or N]]="N", "-20", "0")</f>
        <v>-20</v>
      </c>
      <c r="W89" s="43">
        <f>Table5[[#This Row],[Total]]+Table5[[#This Row],[Penalty Applied]]</f>
        <v>-5</v>
      </c>
      <c r="X89" s="65"/>
    </row>
    <row r="90" spans="5:26" x14ac:dyDescent="0.3">
      <c r="E90" s="59" t="s">
        <v>83</v>
      </c>
      <c r="F90" s="39" t="s">
        <v>31</v>
      </c>
      <c r="G90" s="40">
        <v>15</v>
      </c>
      <c r="H90" s="40"/>
      <c r="I90" s="60"/>
      <c r="J90" s="60"/>
      <c r="K90" s="60"/>
      <c r="L90" s="60"/>
      <c r="M90" s="60"/>
      <c r="N90" s="60"/>
      <c r="O90" s="60"/>
      <c r="P90" s="40"/>
      <c r="Q90" s="40"/>
      <c r="R90" s="39"/>
      <c r="S90" s="41">
        <f>SUM(G90:R90)</f>
        <v>15</v>
      </c>
      <c r="T90" s="41">
        <f t="shared" si="3"/>
        <v>1</v>
      </c>
      <c r="U90" s="9" t="s">
        <v>80</v>
      </c>
      <c r="V90" s="43" t="str">
        <f>IF(Table5[[#This Row],[Observed? Y or N]]="N", "-20", "0")</f>
        <v>-20</v>
      </c>
      <c r="W90" s="43">
        <f>Table5[[#This Row],[Total]]+Table5[[#This Row],[Penalty Applied]]</f>
        <v>-5</v>
      </c>
      <c r="X90" s="65"/>
    </row>
    <row r="91" spans="5:26" x14ac:dyDescent="0.3">
      <c r="E91" s="59" t="s">
        <v>193</v>
      </c>
      <c r="F91" s="39" t="s">
        <v>30</v>
      </c>
      <c r="G91" s="40"/>
      <c r="H91" s="40"/>
      <c r="I91" s="60"/>
      <c r="J91" s="60"/>
      <c r="K91" s="60">
        <v>15</v>
      </c>
      <c r="L91" s="60"/>
      <c r="M91" s="60"/>
      <c r="N91" s="60"/>
      <c r="O91" s="60"/>
      <c r="P91" s="40"/>
      <c r="Q91" s="40"/>
      <c r="R91" s="39"/>
      <c r="S91" s="41">
        <f>SUM(G91:R91)</f>
        <v>15</v>
      </c>
      <c r="T91" s="41">
        <f t="shared" si="3"/>
        <v>1</v>
      </c>
      <c r="U91" s="9" t="s">
        <v>80</v>
      </c>
      <c r="V91" s="43" t="str">
        <f>IF(Table5[[#This Row],[Observed? Y or N]]="N", "-20", "0")</f>
        <v>-20</v>
      </c>
      <c r="W91" s="43">
        <f>Table5[[#This Row],[Total]]+Table5[[#This Row],[Penalty Applied]]</f>
        <v>-5</v>
      </c>
      <c r="X91" s="65"/>
    </row>
    <row r="92" spans="5:26" x14ac:dyDescent="0.3">
      <c r="E92" s="59" t="s">
        <v>147</v>
      </c>
      <c r="F92" s="39" t="s">
        <v>123</v>
      </c>
      <c r="G92" s="40"/>
      <c r="H92" s="40">
        <v>13</v>
      </c>
      <c r="I92" s="60"/>
      <c r="J92" s="60"/>
      <c r="K92" s="60"/>
      <c r="L92" s="60"/>
      <c r="M92" s="60"/>
      <c r="N92" s="60"/>
      <c r="O92" s="60"/>
      <c r="P92" s="40"/>
      <c r="Q92" s="40"/>
      <c r="R92" s="39"/>
      <c r="S92" s="41">
        <f>SUM(Table5[[#This Row],[Club]:[12]])</f>
        <v>13</v>
      </c>
      <c r="T92" s="41">
        <f t="shared" si="3"/>
        <v>1</v>
      </c>
      <c r="U92" s="9" t="s">
        <v>80</v>
      </c>
      <c r="V92" s="43" t="str">
        <f>IF(Table5[[#This Row],[Observed? Y or N]]="N", "-20", "0")</f>
        <v>-20</v>
      </c>
      <c r="W92" s="43">
        <f>Table5[[#This Row],[Total]]+Table5[[#This Row],[Penalty Applied]]</f>
        <v>-7</v>
      </c>
      <c r="X92" s="65"/>
    </row>
    <row r="93" spans="5:26" x14ac:dyDescent="0.3">
      <c r="E93" s="59" t="s">
        <v>178</v>
      </c>
      <c r="F93" s="41" t="s">
        <v>26</v>
      </c>
      <c r="G93" s="40"/>
      <c r="H93" s="40"/>
      <c r="I93" s="60"/>
      <c r="J93" s="60">
        <v>13</v>
      </c>
      <c r="K93" s="60"/>
      <c r="L93" s="60"/>
      <c r="M93" s="60"/>
      <c r="N93" s="60"/>
      <c r="O93" s="60"/>
      <c r="P93" s="40"/>
      <c r="Q93" s="40"/>
      <c r="R93" s="39"/>
      <c r="S93" s="41">
        <f t="shared" ref="S93:S99" si="4">SUM(G93:R93)</f>
        <v>13</v>
      </c>
      <c r="T93" s="41">
        <f t="shared" si="3"/>
        <v>1</v>
      </c>
      <c r="U93" s="9" t="s">
        <v>80</v>
      </c>
      <c r="V93" s="43" t="str">
        <f>IF(Table5[[#This Row],[Observed? Y or N]]="N", "-20", "0")</f>
        <v>-20</v>
      </c>
      <c r="W93" s="43">
        <f>Table5[[#This Row],[Total]]+Table5[[#This Row],[Penalty Applied]]</f>
        <v>-7</v>
      </c>
      <c r="X93" s="65"/>
    </row>
    <row r="94" spans="5:26" x14ac:dyDescent="0.3">
      <c r="E94" s="59" t="s">
        <v>250</v>
      </c>
      <c r="F94" s="67" t="s">
        <v>31</v>
      </c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>
        <v>11</v>
      </c>
      <c r="R94" s="59"/>
      <c r="S94" s="58">
        <f t="shared" si="4"/>
        <v>11</v>
      </c>
      <c r="T94" s="58">
        <f t="shared" si="3"/>
        <v>1</v>
      </c>
      <c r="U94" s="62" t="s">
        <v>80</v>
      </c>
      <c r="V94" s="51" t="str">
        <f>IF(Table5[[#This Row],[Observed? Y or N]]="N", "-20", "0")</f>
        <v>-20</v>
      </c>
      <c r="W94" s="51">
        <f>Table5[[#This Row],[Total]]+Table5[[#This Row],[Penalty Applied]]</f>
        <v>-9</v>
      </c>
      <c r="X94" s="51"/>
    </row>
    <row r="95" spans="5:26" x14ac:dyDescent="0.3">
      <c r="E95" s="59" t="s">
        <v>251</v>
      </c>
      <c r="F95" s="59" t="s">
        <v>28</v>
      </c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>
        <v>9</v>
      </c>
      <c r="R95" s="59"/>
      <c r="S95" s="58">
        <f t="shared" si="4"/>
        <v>9</v>
      </c>
      <c r="T95" s="58">
        <f t="shared" si="3"/>
        <v>1</v>
      </c>
      <c r="U95" s="62" t="s">
        <v>80</v>
      </c>
      <c r="V95" s="51" t="str">
        <f>IF(Table5[[#This Row],[Observed? Y or N]]="N", "-20", "0")</f>
        <v>-20</v>
      </c>
      <c r="W95" s="51">
        <f>Table5[[#This Row],[Total]]+Table5[[#This Row],[Penalty Applied]]</f>
        <v>-11</v>
      </c>
      <c r="X95" s="51"/>
    </row>
    <row r="96" spans="5:26" x14ac:dyDescent="0.3">
      <c r="E96" s="59" t="s">
        <v>150</v>
      </c>
      <c r="F96" s="39" t="s">
        <v>121</v>
      </c>
      <c r="G96" s="40"/>
      <c r="H96" s="40">
        <v>9</v>
      </c>
      <c r="I96" s="60"/>
      <c r="J96" s="60"/>
      <c r="K96" s="60"/>
      <c r="L96" s="60"/>
      <c r="M96" s="60"/>
      <c r="N96" s="60"/>
      <c r="O96" s="60"/>
      <c r="P96" s="40"/>
      <c r="Q96" s="40"/>
      <c r="R96" s="39"/>
      <c r="S96" s="41">
        <f t="shared" si="4"/>
        <v>9</v>
      </c>
      <c r="T96" s="41">
        <f t="shared" si="3"/>
        <v>1</v>
      </c>
      <c r="U96" s="9" t="s">
        <v>80</v>
      </c>
      <c r="V96" s="43" t="str">
        <f>IF(Table5[[#This Row],[Observed? Y or N]]="N", "-20", "0")</f>
        <v>-20</v>
      </c>
      <c r="W96" s="43">
        <f>Table5[[#This Row],[Total]]+Table5[[#This Row],[Penalty Applied]]</f>
        <v>-11</v>
      </c>
      <c r="X96" s="65"/>
    </row>
    <row r="97" spans="5:26" x14ac:dyDescent="0.3">
      <c r="E97" s="59" t="s">
        <v>213</v>
      </c>
      <c r="F97" s="59" t="s">
        <v>123</v>
      </c>
      <c r="G97" s="81"/>
      <c r="H97" s="81"/>
      <c r="I97" s="81"/>
      <c r="J97" s="81"/>
      <c r="K97" s="81"/>
      <c r="L97" s="81"/>
      <c r="M97" s="81"/>
      <c r="N97" s="81"/>
      <c r="O97" s="60"/>
      <c r="P97" s="81"/>
      <c r="Q97" s="81">
        <v>8</v>
      </c>
      <c r="R97" s="59"/>
      <c r="S97" s="58">
        <f t="shared" si="4"/>
        <v>8</v>
      </c>
      <c r="T97" s="58">
        <f t="shared" si="3"/>
        <v>1</v>
      </c>
      <c r="U97" s="62" t="s">
        <v>80</v>
      </c>
      <c r="V97" s="51" t="str">
        <f>IF(Table5[[#This Row],[Observed? Y or N]]="N", "-20", "0")</f>
        <v>-20</v>
      </c>
      <c r="W97" s="51">
        <f>Table5[[#This Row],[Total]]+Table5[[#This Row],[Penalty Applied]]</f>
        <v>-12</v>
      </c>
      <c r="X97" s="51"/>
    </row>
    <row r="98" spans="5:26" x14ac:dyDescent="0.3">
      <c r="E98" s="59" t="s">
        <v>252</v>
      </c>
      <c r="F98" s="59" t="s">
        <v>31</v>
      </c>
      <c r="G98" s="81"/>
      <c r="H98" s="81"/>
      <c r="I98" s="81"/>
      <c r="J98" s="81"/>
      <c r="K98" s="81"/>
      <c r="L98" s="81"/>
      <c r="M98" s="81"/>
      <c r="N98" s="81"/>
      <c r="O98" s="60"/>
      <c r="P98" s="81"/>
      <c r="Q98" s="81">
        <v>7</v>
      </c>
      <c r="R98" s="59"/>
      <c r="S98" s="58">
        <f t="shared" si="4"/>
        <v>7</v>
      </c>
      <c r="T98" s="58">
        <f t="shared" si="3"/>
        <v>1</v>
      </c>
      <c r="U98" s="62" t="s">
        <v>80</v>
      </c>
      <c r="V98" s="51" t="str">
        <f>IF(Table5[[#This Row],[Observed? Y or N]]="N", "-20", "0")</f>
        <v>-20</v>
      </c>
      <c r="W98" s="51">
        <f>Table5[[#This Row],[Total]]+Table5[[#This Row],[Penalty Applied]]</f>
        <v>-13</v>
      </c>
      <c r="X98" s="51"/>
    </row>
    <row r="99" spans="5:26" ht="15" thickBot="1" x14ac:dyDescent="0.35">
      <c r="E99" s="59" t="s">
        <v>254</v>
      </c>
      <c r="F99" s="66" t="s">
        <v>30</v>
      </c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>
        <v>3</v>
      </c>
      <c r="R99" s="70"/>
      <c r="S99" s="58">
        <f t="shared" si="4"/>
        <v>3</v>
      </c>
      <c r="T99" s="154">
        <f t="shared" si="3"/>
        <v>1</v>
      </c>
      <c r="U99" s="62" t="s">
        <v>80</v>
      </c>
      <c r="V99" s="110" t="str">
        <f>IF(Table5[[#This Row],[Observed? Y or N]]="N", "-20", "0")</f>
        <v>-20</v>
      </c>
      <c r="W99" s="51">
        <f>Table5[[#This Row],[Total]]+Table5[[#This Row],[Penalty Applied]]</f>
        <v>-17</v>
      </c>
      <c r="X99" s="110"/>
    </row>
    <row r="101" spans="5:26" ht="15" thickBot="1" x14ac:dyDescent="0.35"/>
    <row r="102" spans="5:26" ht="153" thickBot="1" x14ac:dyDescent="0.35">
      <c r="E102" s="36" t="s">
        <v>35</v>
      </c>
      <c r="F102" s="36" t="s">
        <v>137</v>
      </c>
      <c r="G102" s="35" t="s">
        <v>88</v>
      </c>
      <c r="H102" s="35" t="s">
        <v>89</v>
      </c>
      <c r="I102" s="35" t="s">
        <v>90</v>
      </c>
      <c r="J102" s="35" t="s">
        <v>91</v>
      </c>
      <c r="K102" s="35" t="s">
        <v>92</v>
      </c>
      <c r="L102" s="35" t="s">
        <v>93</v>
      </c>
      <c r="M102" s="35" t="s">
        <v>94</v>
      </c>
      <c r="N102" s="35" t="s">
        <v>95</v>
      </c>
      <c r="O102" s="35" t="s">
        <v>96</v>
      </c>
      <c r="P102" s="35" t="s">
        <v>97</v>
      </c>
      <c r="Q102" s="35" t="s">
        <v>98</v>
      </c>
      <c r="R102" s="35" t="s">
        <v>99</v>
      </c>
      <c r="S102" s="7" t="s">
        <v>32</v>
      </c>
      <c r="T102" s="7" t="s">
        <v>43</v>
      </c>
      <c r="U102" s="82" t="s">
        <v>78</v>
      </c>
      <c r="V102" s="7" t="s">
        <v>81</v>
      </c>
      <c r="W102" s="32" t="s">
        <v>79</v>
      </c>
      <c r="X102" s="32" t="s">
        <v>15</v>
      </c>
    </row>
    <row r="103" spans="5:26" x14ac:dyDescent="0.3">
      <c r="E103" s="126" t="s">
        <v>59</v>
      </c>
      <c r="F103" s="124" t="s">
        <v>122</v>
      </c>
      <c r="G103" s="130">
        <v>17</v>
      </c>
      <c r="H103" s="127">
        <v>17</v>
      </c>
      <c r="I103" s="130">
        <v>20</v>
      </c>
      <c r="J103" s="130"/>
      <c r="K103" s="130">
        <v>15</v>
      </c>
      <c r="L103" s="130">
        <v>20</v>
      </c>
      <c r="M103" s="130">
        <v>20</v>
      </c>
      <c r="N103" s="130"/>
      <c r="O103" s="53">
        <v>17</v>
      </c>
      <c r="P103" s="127"/>
      <c r="Q103" s="127">
        <v>20</v>
      </c>
      <c r="R103" s="124"/>
      <c r="S103" s="131">
        <f>SUM(Table6[[#This Row],[1]:[12]])</f>
        <v>146</v>
      </c>
      <c r="T103" s="131">
        <f t="shared" ref="T103:T123" si="5">COUNTIF(G103:R103,"&gt;1")</f>
        <v>8</v>
      </c>
      <c r="U103" s="9" t="s">
        <v>189</v>
      </c>
      <c r="V103" s="72" t="str">
        <f>IF(Table6[[#This Row],[Observed? Y or N]]="N", "-20", "0")</f>
        <v>0</v>
      </c>
      <c r="W103" s="65">
        <f>Table6[[#This Row],[Total]]+Table6[[#This Row],[Penalty Applied]]</f>
        <v>146</v>
      </c>
      <c r="X103" s="65" t="s">
        <v>0</v>
      </c>
    </row>
    <row r="104" spans="5:26" x14ac:dyDescent="0.3">
      <c r="E104" s="126" t="s">
        <v>143</v>
      </c>
      <c r="F104" s="124" t="s">
        <v>26</v>
      </c>
      <c r="G104" s="130"/>
      <c r="H104" s="127">
        <v>15</v>
      </c>
      <c r="I104" s="130"/>
      <c r="J104" s="130">
        <v>8</v>
      </c>
      <c r="K104" s="130"/>
      <c r="L104" s="130">
        <v>17</v>
      </c>
      <c r="M104" s="130">
        <v>15</v>
      </c>
      <c r="N104" s="130"/>
      <c r="O104" s="53"/>
      <c r="P104" s="127">
        <v>20</v>
      </c>
      <c r="Q104" s="127">
        <v>15</v>
      </c>
      <c r="R104" s="124"/>
      <c r="S104" s="122">
        <f>SUM(Table6[[#This Row],[1]:[12]])</f>
        <v>90</v>
      </c>
      <c r="T104" s="122">
        <f t="shared" si="5"/>
        <v>6</v>
      </c>
      <c r="U104" s="9" t="s">
        <v>189</v>
      </c>
      <c r="V104" s="65" t="str">
        <f>IF(Table6[[#This Row],[Observed? Y or N]]="N", "-20", "0")</f>
        <v>0</v>
      </c>
      <c r="W104" s="65">
        <f>Table6[[#This Row],[Total]]+Table6[[#This Row],[Penalty Applied]]</f>
        <v>90</v>
      </c>
      <c r="X104" s="65" t="s">
        <v>1</v>
      </c>
    </row>
    <row r="105" spans="5:26" x14ac:dyDescent="0.3">
      <c r="E105" s="126" t="s">
        <v>107</v>
      </c>
      <c r="F105" s="124" t="s">
        <v>26</v>
      </c>
      <c r="G105" s="130"/>
      <c r="H105" s="127">
        <v>11</v>
      </c>
      <c r="I105" s="130">
        <v>17</v>
      </c>
      <c r="J105" s="130">
        <v>13</v>
      </c>
      <c r="K105" s="130">
        <v>13</v>
      </c>
      <c r="L105" s="130"/>
      <c r="M105" s="130">
        <v>13</v>
      </c>
      <c r="N105" s="130"/>
      <c r="O105" s="53"/>
      <c r="P105" s="127"/>
      <c r="Q105" s="127"/>
      <c r="R105" s="124"/>
      <c r="S105" s="122">
        <f>SUM(Table6[[#This Row],[1]:[12]])</f>
        <v>67</v>
      </c>
      <c r="T105" s="122">
        <f t="shared" si="5"/>
        <v>5</v>
      </c>
      <c r="U105" s="9" t="s">
        <v>189</v>
      </c>
      <c r="V105" s="65" t="str">
        <f>IF(Table6[[#This Row],[Observed? Y or N]]="N", "-20", "0")</f>
        <v>0</v>
      </c>
      <c r="W105" s="65">
        <f>Table6[[#This Row],[Total]]+Table6[[#This Row],[Penalty Applied]]</f>
        <v>67</v>
      </c>
      <c r="X105" s="65" t="s">
        <v>2</v>
      </c>
    </row>
    <row r="106" spans="5:26" x14ac:dyDescent="0.3">
      <c r="E106" s="126" t="s">
        <v>175</v>
      </c>
      <c r="F106" s="124" t="s">
        <v>30</v>
      </c>
      <c r="G106" s="127">
        <v>13</v>
      </c>
      <c r="H106" s="127"/>
      <c r="I106" s="130"/>
      <c r="J106" s="130">
        <v>6</v>
      </c>
      <c r="K106" s="130"/>
      <c r="L106" s="130"/>
      <c r="M106" s="130">
        <v>10</v>
      </c>
      <c r="N106" s="130"/>
      <c r="O106" s="130">
        <v>13</v>
      </c>
      <c r="P106" s="127"/>
      <c r="Q106" s="127"/>
      <c r="R106" s="124">
        <v>20</v>
      </c>
      <c r="S106" s="122">
        <f>SUM(Table6[[#This Row],[1]:[12]])</f>
        <v>62</v>
      </c>
      <c r="T106" s="122">
        <f t="shared" si="5"/>
        <v>5</v>
      </c>
      <c r="U106" s="9" t="s">
        <v>189</v>
      </c>
      <c r="V106" s="65" t="str">
        <f>IF(Table6[[#This Row],[Observed? Y or N]]="N", "-20", "0")</f>
        <v>0</v>
      </c>
      <c r="W106" s="65">
        <f>Table6[[#This Row],[Total]]+Table6[[#This Row],[Penalty Applied]]</f>
        <v>62</v>
      </c>
      <c r="X106" s="65"/>
    </row>
    <row r="107" spans="5:26" x14ac:dyDescent="0.3">
      <c r="E107" s="59" t="s">
        <v>76</v>
      </c>
      <c r="F107" s="39" t="s">
        <v>30</v>
      </c>
      <c r="G107" s="60"/>
      <c r="H107" s="40">
        <v>20</v>
      </c>
      <c r="I107" s="60"/>
      <c r="J107" s="60">
        <v>17</v>
      </c>
      <c r="K107" s="60">
        <v>20</v>
      </c>
      <c r="L107" s="60"/>
      <c r="M107" s="60"/>
      <c r="N107" s="60"/>
      <c r="O107" s="53">
        <v>20</v>
      </c>
      <c r="P107" s="40"/>
      <c r="Q107" s="40"/>
      <c r="R107" s="39"/>
      <c r="S107" s="41">
        <f>SUM(Table6[[#This Row],[1]:[12]])</f>
        <v>77</v>
      </c>
      <c r="T107" s="41">
        <f t="shared" si="5"/>
        <v>4</v>
      </c>
      <c r="U107" s="9" t="s">
        <v>80</v>
      </c>
      <c r="V107" s="43" t="str">
        <f>IF(Table6[[#This Row],[Observed? Y or N]]="N", "-20", "0")</f>
        <v>-20</v>
      </c>
      <c r="W107" s="43">
        <f>Table6[[#This Row],[Total]]+Table6[[#This Row],[Penalty Applied]]</f>
        <v>57</v>
      </c>
      <c r="X107" s="65"/>
    </row>
    <row r="108" spans="5:26" x14ac:dyDescent="0.3">
      <c r="E108" s="59" t="s">
        <v>60</v>
      </c>
      <c r="F108" s="39" t="s">
        <v>165</v>
      </c>
      <c r="G108" s="60">
        <v>15</v>
      </c>
      <c r="H108" s="40"/>
      <c r="I108" s="60">
        <v>15</v>
      </c>
      <c r="J108" s="60">
        <v>15</v>
      </c>
      <c r="K108" s="60"/>
      <c r="L108" s="60"/>
      <c r="M108" s="60"/>
      <c r="N108" s="60">
        <v>20</v>
      </c>
      <c r="O108" s="53"/>
      <c r="P108" s="40"/>
      <c r="Q108" s="40"/>
      <c r="R108" s="39"/>
      <c r="S108" s="41">
        <f>SUM(Table6[[#This Row],[1]:[12]])</f>
        <v>65</v>
      </c>
      <c r="T108" s="41">
        <f t="shared" si="5"/>
        <v>4</v>
      </c>
      <c r="U108" s="9" t="s">
        <v>80</v>
      </c>
      <c r="V108" s="43" t="str">
        <f>IF(Table6[[#This Row],[Observed? Y or N]]="N", "-20", "0")</f>
        <v>-20</v>
      </c>
      <c r="W108" s="43">
        <f>Table6[[#This Row],[Total]]+Table6[[#This Row],[Penalty Applied]]</f>
        <v>45</v>
      </c>
      <c r="X108" s="65"/>
    </row>
    <row r="109" spans="5:26" ht="15" x14ac:dyDescent="0.3">
      <c r="E109" s="126" t="s">
        <v>106</v>
      </c>
      <c r="F109" s="124" t="s">
        <v>31</v>
      </c>
      <c r="G109" s="130"/>
      <c r="H109" s="127">
        <v>13</v>
      </c>
      <c r="I109" s="130"/>
      <c r="J109" s="130">
        <v>9</v>
      </c>
      <c r="K109" s="130">
        <v>17</v>
      </c>
      <c r="L109" s="130"/>
      <c r="M109" s="130"/>
      <c r="N109" s="130"/>
      <c r="O109" s="53"/>
      <c r="P109" s="127"/>
      <c r="Q109" s="127"/>
      <c r="R109" s="124"/>
      <c r="S109" s="122">
        <f>SUM(Table6[[#This Row],[1]:[12]])</f>
        <v>39</v>
      </c>
      <c r="T109" s="122">
        <f t="shared" si="5"/>
        <v>3</v>
      </c>
      <c r="U109" s="9" t="s">
        <v>189</v>
      </c>
      <c r="V109" s="65" t="str">
        <f>IF(Table6[[#This Row],[Observed? Y or N]]="N", "-20", "0")</f>
        <v>0</v>
      </c>
      <c r="W109" s="65">
        <f>Table6[[#This Row],[Total]]+Table6[[#This Row],[Penalty Applied]]</f>
        <v>39</v>
      </c>
      <c r="X109" s="65"/>
      <c r="Z109" s="33"/>
    </row>
    <row r="110" spans="5:26" ht="15" x14ac:dyDescent="0.3">
      <c r="E110" s="126" t="s">
        <v>215</v>
      </c>
      <c r="F110" s="124" t="s">
        <v>31</v>
      </c>
      <c r="G110" s="127"/>
      <c r="H110" s="127"/>
      <c r="I110" s="130"/>
      <c r="J110" s="130"/>
      <c r="K110" s="130"/>
      <c r="L110" s="130"/>
      <c r="M110" s="130">
        <v>17</v>
      </c>
      <c r="N110" s="130"/>
      <c r="O110" s="130">
        <v>11</v>
      </c>
      <c r="P110" s="127"/>
      <c r="Q110" s="127">
        <v>10</v>
      </c>
      <c r="R110" s="124"/>
      <c r="S110" s="122">
        <f>SUM(Table6[[#This Row],[1]:[12]])</f>
        <v>38</v>
      </c>
      <c r="T110" s="122">
        <f t="shared" si="5"/>
        <v>3</v>
      </c>
      <c r="U110" s="9" t="s">
        <v>189</v>
      </c>
      <c r="V110" s="65" t="str">
        <f>IF(Table6[[#This Row],[Observed? Y or N]]="N", "-20", "0")</f>
        <v>0</v>
      </c>
      <c r="W110" s="65">
        <f>Table6[[#This Row],[Total]]+Table6[[#This Row],[Penalty Applied]]</f>
        <v>38</v>
      </c>
      <c r="X110" s="65"/>
      <c r="Z110" s="33"/>
    </row>
    <row r="111" spans="5:26" ht="15" x14ac:dyDescent="0.3">
      <c r="E111" s="59" t="s">
        <v>191</v>
      </c>
      <c r="F111" s="39" t="s">
        <v>27</v>
      </c>
      <c r="G111" s="40">
        <v>20</v>
      </c>
      <c r="H111" s="40"/>
      <c r="I111" s="60"/>
      <c r="J111" s="60"/>
      <c r="K111" s="60"/>
      <c r="L111" s="60"/>
      <c r="M111" s="60"/>
      <c r="N111" s="60"/>
      <c r="O111" s="53">
        <v>15</v>
      </c>
      <c r="P111" s="40"/>
      <c r="Q111" s="40">
        <v>17</v>
      </c>
      <c r="R111" s="39"/>
      <c r="S111" s="41">
        <f>SUM(Table6[[#This Row],[1]:[12]])</f>
        <v>52</v>
      </c>
      <c r="T111" s="41">
        <f t="shared" si="5"/>
        <v>3</v>
      </c>
      <c r="U111" s="9" t="s">
        <v>80</v>
      </c>
      <c r="V111" s="43" t="str">
        <f>IF(Table6[[#This Row],[Observed? Y or N]]="N", "-20", "0")</f>
        <v>-20</v>
      </c>
      <c r="W111" s="43">
        <f>Table6[[#This Row],[Total]]+Table6[[#This Row],[Penalty Applied]]</f>
        <v>32</v>
      </c>
      <c r="X111" s="65"/>
      <c r="Z111" s="33"/>
    </row>
    <row r="112" spans="5:26" ht="15" x14ac:dyDescent="0.3">
      <c r="E112" s="126" t="s">
        <v>110</v>
      </c>
      <c r="F112" s="124" t="s">
        <v>28</v>
      </c>
      <c r="G112" s="130"/>
      <c r="H112" s="127">
        <v>10</v>
      </c>
      <c r="I112" s="130"/>
      <c r="J112" s="130">
        <v>11</v>
      </c>
      <c r="K112" s="130">
        <v>11</v>
      </c>
      <c r="L112" s="130"/>
      <c r="M112" s="130"/>
      <c r="N112" s="130"/>
      <c r="O112" s="53"/>
      <c r="P112" s="127"/>
      <c r="Q112" s="127"/>
      <c r="R112" s="124"/>
      <c r="S112" s="122">
        <f>SUM(Table6[[#This Row],[1]:[12]])</f>
        <v>32</v>
      </c>
      <c r="T112" s="122">
        <f t="shared" si="5"/>
        <v>3</v>
      </c>
      <c r="U112" s="9" t="s">
        <v>189</v>
      </c>
      <c r="V112" s="65" t="str">
        <f>IF(Table6[[#This Row],[Observed? Y or N]]="N", "-20", "0")</f>
        <v>0</v>
      </c>
      <c r="W112" s="65">
        <f>Table6[[#This Row],[Total]]+Table6[[#This Row],[Penalty Applied]]</f>
        <v>32</v>
      </c>
      <c r="X112" s="65"/>
      <c r="Z112" s="33"/>
    </row>
    <row r="113" spans="5:26" ht="15" x14ac:dyDescent="0.3">
      <c r="E113" s="59" t="s">
        <v>154</v>
      </c>
      <c r="F113" s="39" t="s">
        <v>121</v>
      </c>
      <c r="G113" s="40"/>
      <c r="H113" s="40"/>
      <c r="I113" s="60"/>
      <c r="J113" s="60">
        <v>20</v>
      </c>
      <c r="K113" s="60"/>
      <c r="L113" s="60"/>
      <c r="M113" s="60"/>
      <c r="N113" s="60"/>
      <c r="O113" s="53"/>
      <c r="P113" s="40"/>
      <c r="Q113" s="40"/>
      <c r="R113" s="39"/>
      <c r="S113" s="41">
        <f>SUM(Table6[[#This Row],[1]:[12]])</f>
        <v>20</v>
      </c>
      <c r="T113" s="41">
        <f t="shared" si="5"/>
        <v>1</v>
      </c>
      <c r="U113" s="9" t="s">
        <v>80</v>
      </c>
      <c r="V113" s="43" t="str">
        <f>IF(Table6[[#This Row],[Observed? Y or N]]="N", "-20", "0")</f>
        <v>-20</v>
      </c>
      <c r="W113" s="43">
        <f>Table6[[#This Row],[Total]]+Table6[[#This Row],[Penalty Applied]]</f>
        <v>0</v>
      </c>
      <c r="X113" s="65"/>
      <c r="Z113" s="33"/>
    </row>
    <row r="114" spans="5:26" ht="15" x14ac:dyDescent="0.3">
      <c r="E114" s="59" t="s">
        <v>202</v>
      </c>
      <c r="F114" s="39" t="s">
        <v>121</v>
      </c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39">
        <v>17</v>
      </c>
      <c r="S114" s="41">
        <f>SUM(Table6[[#This Row],[1]:[12]])</f>
        <v>17</v>
      </c>
      <c r="T114" s="41">
        <f t="shared" si="5"/>
        <v>1</v>
      </c>
      <c r="U114" s="9" t="s">
        <v>80</v>
      </c>
      <c r="V114" s="43" t="str">
        <f>IF(Table6[[#This Row],[Observed? Y or N]]="N", "-20", "0")</f>
        <v>-20</v>
      </c>
      <c r="W114" s="43">
        <f>Table6[[#This Row],[Total]]+Table6[[#This Row],[Penalty Applied]]</f>
        <v>-3</v>
      </c>
      <c r="X114" s="65"/>
      <c r="Z114" s="33"/>
    </row>
    <row r="115" spans="5:26" x14ac:dyDescent="0.3">
      <c r="E115" s="59" t="s">
        <v>176</v>
      </c>
      <c r="F115" s="39" t="s">
        <v>27</v>
      </c>
      <c r="G115" s="40">
        <v>11</v>
      </c>
      <c r="H115" s="40"/>
      <c r="I115" s="60"/>
      <c r="J115" s="60">
        <v>5</v>
      </c>
      <c r="K115" s="60"/>
      <c r="L115" s="60"/>
      <c r="M115" s="60"/>
      <c r="N115" s="60"/>
      <c r="O115" s="53"/>
      <c r="P115" s="40"/>
      <c r="Q115" s="40"/>
      <c r="R115" s="39"/>
      <c r="S115" s="41">
        <f>SUM(Table6[[#This Row],[1]:[12]])</f>
        <v>16</v>
      </c>
      <c r="T115" s="41">
        <f t="shared" si="5"/>
        <v>2</v>
      </c>
      <c r="U115" s="9" t="s">
        <v>80</v>
      </c>
      <c r="V115" s="43" t="str">
        <f>IF(Table6[[#This Row],[Observed? Y or N]]="N", "-20", "0")</f>
        <v>-20</v>
      </c>
      <c r="W115" s="43">
        <f>Table6[[#This Row],[Total]]+Table6[[#This Row],[Penalty Applied]]</f>
        <v>-4</v>
      </c>
      <c r="X115" s="65"/>
    </row>
    <row r="116" spans="5:26" x14ac:dyDescent="0.3">
      <c r="E116" s="59" t="s">
        <v>61</v>
      </c>
      <c r="F116" s="39" t="s">
        <v>195</v>
      </c>
      <c r="G116" s="40"/>
      <c r="H116" s="40"/>
      <c r="I116" s="60"/>
      <c r="J116" s="60"/>
      <c r="K116" s="60"/>
      <c r="L116" s="60">
        <v>15</v>
      </c>
      <c r="M116" s="60"/>
      <c r="N116" s="60"/>
      <c r="O116" s="53"/>
      <c r="P116" s="40"/>
      <c r="Q116" s="40"/>
      <c r="R116" s="39"/>
      <c r="S116" s="41">
        <f>SUM(Table6[[#This Row],[1]:[12]])</f>
        <v>15</v>
      </c>
      <c r="T116" s="41">
        <f t="shared" si="5"/>
        <v>1</v>
      </c>
      <c r="U116" s="9" t="s">
        <v>80</v>
      </c>
      <c r="V116" s="43" t="str">
        <f>IF(Table6[[#This Row],[Observed? Y or N]]="N", "-20", "0")</f>
        <v>-20</v>
      </c>
      <c r="W116" s="43">
        <f>Table6[[#This Row],[Total]]+Table6[[#This Row],[Penalty Applied]]</f>
        <v>-5</v>
      </c>
      <c r="X116" s="65"/>
    </row>
    <row r="117" spans="5:26" x14ac:dyDescent="0.3">
      <c r="E117" s="59" t="s">
        <v>242</v>
      </c>
      <c r="F117" s="39" t="s">
        <v>27</v>
      </c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>
        <v>13</v>
      </c>
      <c r="R117" s="39"/>
      <c r="S117" s="41">
        <f>SUM(Table6[[#This Row],[1]:[12]])</f>
        <v>13</v>
      </c>
      <c r="T117" s="41">
        <f t="shared" si="5"/>
        <v>1</v>
      </c>
      <c r="U117" s="9" t="s">
        <v>80</v>
      </c>
      <c r="V117" s="43" t="str">
        <f>IF(Table6[[#This Row],[Observed? Y or N]]="N", "-20", "0")</f>
        <v>-20</v>
      </c>
      <c r="W117" s="43">
        <f>Table6[[#This Row],[Total]]+Table6[[#This Row],[Penalty Applied]]</f>
        <v>-7</v>
      </c>
      <c r="X117" s="65"/>
    </row>
    <row r="118" spans="5:26" x14ac:dyDescent="0.3">
      <c r="E118" s="59" t="s">
        <v>110</v>
      </c>
      <c r="F118" s="39" t="s">
        <v>28</v>
      </c>
      <c r="G118" s="40"/>
      <c r="H118" s="40"/>
      <c r="I118" s="60"/>
      <c r="J118" s="60"/>
      <c r="K118" s="60"/>
      <c r="L118" s="60"/>
      <c r="M118" s="60">
        <v>11</v>
      </c>
      <c r="N118" s="60"/>
      <c r="O118" s="53"/>
      <c r="P118" s="40"/>
      <c r="Q118" s="40"/>
      <c r="R118" s="39"/>
      <c r="S118" s="41">
        <f>SUM(Table6[[#This Row],[1]:[12]])</f>
        <v>11</v>
      </c>
      <c r="T118" s="41">
        <f t="shared" si="5"/>
        <v>1</v>
      </c>
      <c r="U118" s="9" t="s">
        <v>80</v>
      </c>
      <c r="V118" s="43" t="str">
        <f>IF(Table6[[#This Row],[Observed? Y or N]]="N", "-20", "0")</f>
        <v>-20</v>
      </c>
      <c r="W118" s="43">
        <f>Table6[[#This Row],[Total]]+Table6[[#This Row],[Penalty Applied]]</f>
        <v>-9</v>
      </c>
      <c r="X118" s="65"/>
    </row>
    <row r="119" spans="5:26" x14ac:dyDescent="0.3">
      <c r="E119" s="59" t="s">
        <v>174</v>
      </c>
      <c r="F119" s="39" t="s">
        <v>30</v>
      </c>
      <c r="G119" s="40"/>
      <c r="H119" s="40"/>
      <c r="I119" s="60"/>
      <c r="J119" s="60">
        <v>10</v>
      </c>
      <c r="K119" s="60"/>
      <c r="L119" s="60"/>
      <c r="M119" s="60"/>
      <c r="N119" s="60"/>
      <c r="O119" s="53"/>
      <c r="P119" s="40"/>
      <c r="Q119" s="40"/>
      <c r="R119" s="39"/>
      <c r="S119" s="41">
        <f>SUM(Table6[[#This Row],[1]:[12]])</f>
        <v>10</v>
      </c>
      <c r="T119" s="41">
        <f t="shared" si="5"/>
        <v>1</v>
      </c>
      <c r="U119" s="9" t="s">
        <v>80</v>
      </c>
      <c r="V119" s="43" t="str">
        <f>IF(Table6[[#This Row],[Observed? Y or N]]="N", "-20", "0")</f>
        <v>-20</v>
      </c>
      <c r="W119" s="43">
        <f>Table6[[#This Row],[Total]]+Table6[[#This Row],[Penalty Applied]]</f>
        <v>-10</v>
      </c>
      <c r="X119" s="65"/>
    </row>
    <row r="120" spans="5:26" x14ac:dyDescent="0.3">
      <c r="E120" s="59" t="s">
        <v>194</v>
      </c>
      <c r="F120" s="39" t="s">
        <v>195</v>
      </c>
      <c r="G120" s="40"/>
      <c r="H120" s="40"/>
      <c r="I120" s="60"/>
      <c r="J120" s="60"/>
      <c r="K120" s="60">
        <v>10</v>
      </c>
      <c r="L120" s="60"/>
      <c r="M120" s="60"/>
      <c r="N120" s="60"/>
      <c r="O120" s="53"/>
      <c r="P120" s="40"/>
      <c r="Q120" s="40"/>
      <c r="R120" s="39"/>
      <c r="S120" s="41">
        <f>SUM(Table6[[#This Row],[1]:[12]])</f>
        <v>10</v>
      </c>
      <c r="T120" s="41">
        <f t="shared" si="5"/>
        <v>1</v>
      </c>
      <c r="U120" s="9" t="s">
        <v>80</v>
      </c>
      <c r="V120" s="43" t="str">
        <f>IF(Table6[[#This Row],[Observed? Y or N]]="N", "-20", "0")</f>
        <v>-20</v>
      </c>
      <c r="W120" s="43">
        <f>Table6[[#This Row],[Total]]+Table6[[#This Row],[Penalty Applied]]</f>
        <v>-10</v>
      </c>
      <c r="X120" s="65"/>
    </row>
    <row r="121" spans="5:26" x14ac:dyDescent="0.3">
      <c r="E121" s="59" t="s">
        <v>196</v>
      </c>
      <c r="F121" s="39" t="s">
        <v>160</v>
      </c>
      <c r="G121" s="40"/>
      <c r="H121" s="40"/>
      <c r="I121" s="60"/>
      <c r="J121" s="60"/>
      <c r="K121" s="60">
        <v>9</v>
      </c>
      <c r="L121" s="60"/>
      <c r="M121" s="60"/>
      <c r="N121" s="60"/>
      <c r="O121" s="53"/>
      <c r="P121" s="40"/>
      <c r="Q121" s="40"/>
      <c r="R121" s="39"/>
      <c r="S121" s="41">
        <f>SUM(Table6[[#This Row],[1]:[12]])</f>
        <v>9</v>
      </c>
      <c r="T121" s="41">
        <f t="shared" si="5"/>
        <v>1</v>
      </c>
      <c r="U121" s="9" t="s">
        <v>80</v>
      </c>
      <c r="V121" s="43" t="str">
        <f>IF(Table6[[#This Row],[Observed? Y or N]]="N", "-20", "0")</f>
        <v>-20</v>
      </c>
      <c r="W121" s="43">
        <f>Table6[[#This Row],[Total]]+Table6[[#This Row],[Penalty Applied]]</f>
        <v>-11</v>
      </c>
      <c r="X121" s="65"/>
    </row>
    <row r="122" spans="5:26" x14ac:dyDescent="0.3">
      <c r="E122" s="59" t="s">
        <v>108</v>
      </c>
      <c r="F122" s="39" t="s">
        <v>123</v>
      </c>
      <c r="G122" s="40"/>
      <c r="H122" s="40"/>
      <c r="I122" s="60"/>
      <c r="J122" s="60">
        <v>7</v>
      </c>
      <c r="K122" s="60"/>
      <c r="L122" s="60"/>
      <c r="M122" s="60"/>
      <c r="N122" s="60"/>
      <c r="O122" s="53"/>
      <c r="P122" s="40"/>
      <c r="Q122" s="40"/>
      <c r="R122" s="39"/>
      <c r="S122" s="41">
        <f>SUM(Table6[[#This Row],[1]:[12]])</f>
        <v>7</v>
      </c>
      <c r="T122" s="41">
        <f t="shared" si="5"/>
        <v>1</v>
      </c>
      <c r="U122" s="9" t="s">
        <v>80</v>
      </c>
      <c r="V122" s="43" t="str">
        <f>IF(Table6[[#This Row],[Observed? Y or N]]="N", "-20", "0")</f>
        <v>-20</v>
      </c>
      <c r="W122" s="43">
        <f>Table6[[#This Row],[Total]]+Table6[[#This Row],[Penalty Applied]]</f>
        <v>-13</v>
      </c>
      <c r="X122" s="65"/>
    </row>
    <row r="123" spans="5:26" x14ac:dyDescent="0.3">
      <c r="E123" s="59"/>
      <c r="F123" s="39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39"/>
      <c r="S123" s="41">
        <f>SUM(Table6[[#This Row],[1]:[12]])</f>
        <v>0</v>
      </c>
      <c r="T123" s="41">
        <f t="shared" si="5"/>
        <v>0</v>
      </c>
      <c r="U123" s="9" t="s">
        <v>80</v>
      </c>
      <c r="V123" s="43" t="str">
        <f>IF(Table6[[#This Row],[Observed? Y or N]]="N", "-20", "0")</f>
        <v>-20</v>
      </c>
      <c r="W123" s="43">
        <f>Table6[[#This Row],[Total]]+Table6[[#This Row],[Penalty Applied]]</f>
        <v>-20</v>
      </c>
      <c r="X123" s="65"/>
    </row>
    <row r="125" spans="5:26" ht="15" thickBot="1" x14ac:dyDescent="0.35"/>
    <row r="126" spans="5:26" ht="153" thickBot="1" x14ac:dyDescent="0.35">
      <c r="E126" s="36" t="s">
        <v>37</v>
      </c>
      <c r="F126" s="36" t="s">
        <v>137</v>
      </c>
      <c r="G126" s="35" t="s">
        <v>88</v>
      </c>
      <c r="H126" s="35" t="s">
        <v>89</v>
      </c>
      <c r="I126" s="35" t="s">
        <v>90</v>
      </c>
      <c r="J126" s="35" t="s">
        <v>91</v>
      </c>
      <c r="K126" s="35" t="s">
        <v>92</v>
      </c>
      <c r="L126" s="35" t="s">
        <v>93</v>
      </c>
      <c r="M126" s="35" t="s">
        <v>94</v>
      </c>
      <c r="N126" s="35" t="s">
        <v>95</v>
      </c>
      <c r="O126" s="35" t="s">
        <v>96</v>
      </c>
      <c r="P126" s="35" t="s">
        <v>97</v>
      </c>
      <c r="Q126" s="35" t="s">
        <v>98</v>
      </c>
      <c r="R126" s="35" t="s">
        <v>99</v>
      </c>
      <c r="S126" s="7" t="s">
        <v>32</v>
      </c>
      <c r="T126" s="7" t="s">
        <v>43</v>
      </c>
      <c r="U126" s="82" t="s">
        <v>78</v>
      </c>
      <c r="V126" s="7" t="s">
        <v>81</v>
      </c>
      <c r="W126" s="32" t="s">
        <v>79</v>
      </c>
      <c r="X126" s="32" t="s">
        <v>15</v>
      </c>
    </row>
    <row r="127" spans="5:26" s="53" customFormat="1" x14ac:dyDescent="0.3">
      <c r="E127" s="59" t="s">
        <v>144</v>
      </c>
      <c r="F127" s="42" t="s">
        <v>121</v>
      </c>
      <c r="G127" s="40"/>
      <c r="H127" s="56">
        <v>13</v>
      </c>
      <c r="I127" s="151"/>
      <c r="J127" s="151">
        <v>15</v>
      </c>
      <c r="K127" s="151">
        <v>20</v>
      </c>
      <c r="L127" s="151">
        <v>17</v>
      </c>
      <c r="M127" s="151"/>
      <c r="N127" s="151"/>
      <c r="O127" s="60">
        <v>20</v>
      </c>
      <c r="P127" s="56">
        <v>20</v>
      </c>
      <c r="Q127" s="56">
        <v>11</v>
      </c>
      <c r="R127" s="57"/>
      <c r="S127" s="42">
        <f>SUM(Table7[[#This Row],[1]:[12]])</f>
        <v>116</v>
      </c>
      <c r="T127" s="41">
        <f t="shared" ref="T127:T144" si="6">COUNTIF(G127:R127,"&gt;1")</f>
        <v>7</v>
      </c>
      <c r="U127" s="62" t="s">
        <v>80</v>
      </c>
      <c r="V127" s="44" t="str">
        <f>IF(Table7[[#This Row],[Observed? Y or N]]="N", "-20", "0")</f>
        <v>-20</v>
      </c>
      <c r="W127" s="38">
        <f>Table7[[#This Row],[Total]]+Table7[[#This Row],[Penalty Applied]]</f>
        <v>96</v>
      </c>
      <c r="X127" s="72" t="s">
        <v>0</v>
      </c>
    </row>
    <row r="128" spans="5:26" x14ac:dyDescent="0.3">
      <c r="E128" s="126" t="s">
        <v>109</v>
      </c>
      <c r="F128" s="121" t="s">
        <v>42</v>
      </c>
      <c r="G128" s="130">
        <v>20</v>
      </c>
      <c r="H128" s="152">
        <v>15</v>
      </c>
      <c r="I128" s="152"/>
      <c r="J128" s="152">
        <v>20</v>
      </c>
      <c r="K128" s="152"/>
      <c r="L128" s="152">
        <v>15</v>
      </c>
      <c r="M128" s="152"/>
      <c r="N128" s="152"/>
      <c r="O128" s="53"/>
      <c r="P128" s="152"/>
      <c r="Q128" s="152">
        <v>20</v>
      </c>
      <c r="R128" s="126"/>
      <c r="S128" s="121">
        <f>SUM(Table7[[#This Row],[1]:[12]])</f>
        <v>90</v>
      </c>
      <c r="T128" s="121">
        <f t="shared" si="6"/>
        <v>5</v>
      </c>
      <c r="U128" s="62" t="s">
        <v>189</v>
      </c>
      <c r="V128" s="65" t="str">
        <f>IF(Table7[[#This Row],[Observed? Y or N]]="N", "-20", "0")</f>
        <v>0</v>
      </c>
      <c r="W128" s="53">
        <f>Table7[[#This Row],[Total]]+Table7[[#This Row],[Penalty Applied]]</f>
        <v>90</v>
      </c>
      <c r="X128" s="65" t="s">
        <v>1</v>
      </c>
    </row>
    <row r="129" spans="5:26" x14ac:dyDescent="0.3">
      <c r="E129" s="126" t="s">
        <v>63</v>
      </c>
      <c r="F129" s="122" t="s">
        <v>30</v>
      </c>
      <c r="G129" s="127">
        <v>15</v>
      </c>
      <c r="H129" s="127">
        <v>11</v>
      </c>
      <c r="I129" s="130"/>
      <c r="J129" s="130">
        <v>11</v>
      </c>
      <c r="K129" s="130"/>
      <c r="L129" s="130">
        <v>11</v>
      </c>
      <c r="M129" s="130">
        <v>9</v>
      </c>
      <c r="N129" s="130">
        <v>13</v>
      </c>
      <c r="O129" s="130">
        <v>13</v>
      </c>
      <c r="P129" s="127"/>
      <c r="Q129" s="127"/>
      <c r="R129" s="124"/>
      <c r="S129" s="122">
        <f>SUM(Table7[[#This Row],[1]:[12]])</f>
        <v>83</v>
      </c>
      <c r="T129" s="122">
        <f t="shared" si="6"/>
        <v>7</v>
      </c>
      <c r="U129" s="62" t="s">
        <v>189</v>
      </c>
      <c r="V129" s="65" t="str">
        <f>IF(Table7[[#This Row],[Observed? Y or N]]="N", "-20", "0")</f>
        <v>0</v>
      </c>
      <c r="W129" s="53">
        <f>Table7[[#This Row],[Total]]+Table7[[#This Row],[Penalty Applied]]</f>
        <v>83</v>
      </c>
      <c r="X129" s="65" t="s">
        <v>2</v>
      </c>
    </row>
    <row r="130" spans="5:26" x14ac:dyDescent="0.3">
      <c r="E130" s="59" t="s">
        <v>100</v>
      </c>
      <c r="F130" s="41" t="s">
        <v>121</v>
      </c>
      <c r="G130" s="40">
        <v>17</v>
      </c>
      <c r="H130" s="68">
        <v>17</v>
      </c>
      <c r="I130" s="81"/>
      <c r="J130" s="81"/>
      <c r="K130" s="81"/>
      <c r="L130" s="81">
        <v>20</v>
      </c>
      <c r="M130" s="81">
        <v>20</v>
      </c>
      <c r="N130" s="81">
        <v>20</v>
      </c>
      <c r="O130" s="53"/>
      <c r="P130" s="68"/>
      <c r="Q130" s="68"/>
      <c r="R130" s="39"/>
      <c r="S130" s="41">
        <f>SUM(Table7[[#This Row],[1]:[12]])</f>
        <v>94</v>
      </c>
      <c r="T130" s="41">
        <f t="shared" si="6"/>
        <v>5</v>
      </c>
      <c r="U130" s="62" t="s">
        <v>80</v>
      </c>
      <c r="V130" s="43" t="str">
        <f>IF(Table7[[#This Row],[Observed? Y or N]]="N", "-20", "0")</f>
        <v>-20</v>
      </c>
      <c r="W130" s="38">
        <f>Table7[[#This Row],[Total]]+Table7[[#This Row],[Penalty Applied]]</f>
        <v>74</v>
      </c>
      <c r="X130" s="65"/>
    </row>
    <row r="131" spans="5:26" x14ac:dyDescent="0.3">
      <c r="E131" s="126" t="s">
        <v>72</v>
      </c>
      <c r="F131" s="122" t="s">
        <v>30</v>
      </c>
      <c r="G131" s="127"/>
      <c r="H131" s="127">
        <v>7</v>
      </c>
      <c r="I131" s="130">
        <v>15</v>
      </c>
      <c r="J131" s="130">
        <v>9</v>
      </c>
      <c r="K131" s="130"/>
      <c r="L131" s="130"/>
      <c r="M131" s="130">
        <v>10</v>
      </c>
      <c r="N131" s="130">
        <v>10</v>
      </c>
      <c r="O131" s="53">
        <v>11</v>
      </c>
      <c r="P131" s="127"/>
      <c r="Q131" s="127">
        <v>3</v>
      </c>
      <c r="R131" s="124"/>
      <c r="S131" s="122">
        <f>SUM(Table7[[#This Row],[1]:[12]])</f>
        <v>65</v>
      </c>
      <c r="T131" s="122">
        <f t="shared" si="6"/>
        <v>7</v>
      </c>
      <c r="U131" s="62" t="s">
        <v>189</v>
      </c>
      <c r="V131" s="65" t="str">
        <f>IF(Table7[[#This Row],[Observed? Y or N]]="N", "-20", "0")</f>
        <v>0</v>
      </c>
      <c r="W131" s="53">
        <f>Table7[[#This Row],[Total]]+Table7[[#This Row],[Penalty Applied]]</f>
        <v>65</v>
      </c>
      <c r="X131" s="65"/>
    </row>
    <row r="132" spans="5:26" x14ac:dyDescent="0.3">
      <c r="E132" s="59" t="s">
        <v>70</v>
      </c>
      <c r="F132" s="41" t="s">
        <v>26</v>
      </c>
      <c r="G132" s="40"/>
      <c r="H132" s="40"/>
      <c r="I132" s="60">
        <v>17</v>
      </c>
      <c r="J132" s="60">
        <v>10</v>
      </c>
      <c r="K132" s="60"/>
      <c r="L132" s="60">
        <v>9</v>
      </c>
      <c r="M132" s="60"/>
      <c r="N132" s="60"/>
      <c r="O132" s="53">
        <v>15</v>
      </c>
      <c r="P132" s="40"/>
      <c r="Q132" s="40">
        <v>15</v>
      </c>
      <c r="R132" s="39">
        <v>17</v>
      </c>
      <c r="S132" s="41">
        <f>SUM(Table7[[#This Row],[1]:[12]])</f>
        <v>83</v>
      </c>
      <c r="T132" s="41">
        <f t="shared" si="6"/>
        <v>6</v>
      </c>
      <c r="U132" s="62" t="s">
        <v>80</v>
      </c>
      <c r="V132" s="43" t="str">
        <f>IF(Table7[[#This Row],[Observed? Y or N]]="N", "-20", "0")</f>
        <v>-20</v>
      </c>
      <c r="W132" s="38">
        <f>Table7[[#This Row],[Total]]+Table7[[#This Row],[Penalty Applied]]</f>
        <v>63</v>
      </c>
      <c r="X132" s="65"/>
    </row>
    <row r="133" spans="5:26" x14ac:dyDescent="0.3">
      <c r="E133" s="126" t="s">
        <v>119</v>
      </c>
      <c r="F133" s="124" t="s">
        <v>124</v>
      </c>
      <c r="G133" s="127"/>
      <c r="H133" s="127">
        <v>10</v>
      </c>
      <c r="I133" s="130"/>
      <c r="J133" s="130">
        <v>17</v>
      </c>
      <c r="K133" s="130"/>
      <c r="L133" s="130">
        <v>13</v>
      </c>
      <c r="M133" s="130">
        <v>11</v>
      </c>
      <c r="N133" s="130"/>
      <c r="O133" s="53"/>
      <c r="P133" s="127"/>
      <c r="Q133" s="127">
        <v>10</v>
      </c>
      <c r="R133" s="124"/>
      <c r="S133" s="122">
        <f>SUM(Table7[[#This Row],[1]:[12]])</f>
        <v>61</v>
      </c>
      <c r="T133" s="122">
        <f t="shared" si="6"/>
        <v>5</v>
      </c>
      <c r="U133" s="62" t="s">
        <v>189</v>
      </c>
      <c r="V133" s="65" t="str">
        <f>IF(Table7[[#This Row],[Observed? Y or N]]="N", "-20", "0")</f>
        <v>0</v>
      </c>
      <c r="W133" s="53">
        <f>Table7[[#This Row],[Total]]+Table7[[#This Row],[Penalty Applied]]</f>
        <v>61</v>
      </c>
      <c r="X133" s="65"/>
    </row>
    <row r="134" spans="5:26" x14ac:dyDescent="0.3">
      <c r="E134" s="126" t="s">
        <v>106</v>
      </c>
      <c r="F134" s="124" t="s">
        <v>31</v>
      </c>
      <c r="G134" s="127"/>
      <c r="H134" s="127"/>
      <c r="I134" s="130"/>
      <c r="J134" s="130"/>
      <c r="K134" s="130"/>
      <c r="L134" s="130"/>
      <c r="M134" s="130">
        <v>17</v>
      </c>
      <c r="N134" s="130">
        <v>15</v>
      </c>
      <c r="O134" s="130">
        <v>17</v>
      </c>
      <c r="P134" s="127"/>
      <c r="Q134" s="127">
        <v>4</v>
      </c>
      <c r="R134" s="124"/>
      <c r="S134" s="122">
        <f>SUM(Table7[[#This Row],[1]:[12]])</f>
        <v>53</v>
      </c>
      <c r="T134" s="122">
        <f t="shared" si="6"/>
        <v>4</v>
      </c>
      <c r="U134" s="9" t="s">
        <v>189</v>
      </c>
      <c r="V134" s="65" t="str">
        <f>IF(Table7[[#This Row],[Observed? Y or N]]="N", "-20", "0")</f>
        <v>0</v>
      </c>
      <c r="W134" s="53">
        <f>Table7[[#This Row],[Total]]+Table7[[#This Row],[Penalty Applied]]</f>
        <v>53</v>
      </c>
      <c r="X134" s="65"/>
    </row>
    <row r="135" spans="5:26" x14ac:dyDescent="0.3">
      <c r="E135" s="126" t="s">
        <v>163</v>
      </c>
      <c r="F135" s="122" t="s">
        <v>121</v>
      </c>
      <c r="G135" s="127">
        <v>11</v>
      </c>
      <c r="H135" s="127"/>
      <c r="I135" s="130">
        <v>20</v>
      </c>
      <c r="J135" s="130"/>
      <c r="K135" s="130">
        <v>17</v>
      </c>
      <c r="L135" s="130"/>
      <c r="M135" s="130"/>
      <c r="N135" s="130"/>
      <c r="O135" s="53"/>
      <c r="P135" s="127"/>
      <c r="Q135" s="127"/>
      <c r="R135" s="124"/>
      <c r="S135" s="122">
        <f>SUM(Table7[[#This Row],[1]:[12]])</f>
        <v>48</v>
      </c>
      <c r="T135" s="122">
        <f t="shared" si="6"/>
        <v>3</v>
      </c>
      <c r="U135" s="62" t="s">
        <v>189</v>
      </c>
      <c r="V135" s="65" t="str">
        <f>IF(Table7[[#This Row],[Observed? Y or N]]="N", "-20", "0")</f>
        <v>0</v>
      </c>
      <c r="W135" s="53">
        <f>Table7[[#This Row],[Total]]+Table7[[#This Row],[Penalty Applied]]</f>
        <v>48</v>
      </c>
      <c r="X135" s="65"/>
    </row>
    <row r="136" spans="5:26" x14ac:dyDescent="0.3">
      <c r="E136" s="126" t="s">
        <v>222</v>
      </c>
      <c r="F136" s="124" t="s">
        <v>30</v>
      </c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>
        <v>17</v>
      </c>
      <c r="R136" s="124">
        <v>20</v>
      </c>
      <c r="S136" s="122">
        <f>SUM(Table7[[#This Row],[1]:[12]])</f>
        <v>37</v>
      </c>
      <c r="T136" s="122">
        <f t="shared" si="6"/>
        <v>2</v>
      </c>
      <c r="U136" s="9" t="s">
        <v>189</v>
      </c>
      <c r="V136" s="65" t="str">
        <f>IF(Table7[[#This Row],[Observed? Y or N]]="N", "-20", "0")</f>
        <v>0</v>
      </c>
      <c r="W136" s="53">
        <f>Table7[[#This Row],[Total]]+Table7[[#This Row],[Penalty Applied]]</f>
        <v>37</v>
      </c>
      <c r="X136" s="65"/>
    </row>
    <row r="137" spans="5:26" x14ac:dyDescent="0.3">
      <c r="E137" s="59" t="s">
        <v>101</v>
      </c>
      <c r="F137" s="39" t="s">
        <v>27</v>
      </c>
      <c r="G137" s="40"/>
      <c r="H137" s="68">
        <v>20</v>
      </c>
      <c r="I137" s="81"/>
      <c r="J137" s="81"/>
      <c r="K137" s="81"/>
      <c r="L137" s="81"/>
      <c r="M137" s="81"/>
      <c r="N137" s="81"/>
      <c r="O137" s="53"/>
      <c r="P137" s="68"/>
      <c r="Q137" s="68"/>
      <c r="R137" s="39"/>
      <c r="S137" s="41">
        <f>SUM(Table7[[#This Row],[1]:[12]])</f>
        <v>20</v>
      </c>
      <c r="T137" s="41">
        <f t="shared" si="6"/>
        <v>1</v>
      </c>
      <c r="U137" s="62" t="s">
        <v>80</v>
      </c>
      <c r="V137" s="43" t="str">
        <f>IF(Table7[[#This Row],[Observed? Y or N]]="N", "-20", "0")</f>
        <v>-20</v>
      </c>
      <c r="W137" s="38">
        <f>Table7[[#This Row],[Total]]-Table7[[#This Row],[11]]</f>
        <v>20</v>
      </c>
      <c r="X137" s="65"/>
    </row>
    <row r="138" spans="5:26" x14ac:dyDescent="0.3">
      <c r="E138" s="126" t="s">
        <v>169</v>
      </c>
      <c r="F138" s="122" t="s">
        <v>121</v>
      </c>
      <c r="G138" s="127">
        <v>13</v>
      </c>
      <c r="H138" s="127"/>
      <c r="I138" s="130"/>
      <c r="J138" s="130"/>
      <c r="K138" s="130"/>
      <c r="L138" s="130"/>
      <c r="M138" s="130"/>
      <c r="N138" s="130"/>
      <c r="O138" s="53"/>
      <c r="P138" s="127"/>
      <c r="Q138" s="127"/>
      <c r="R138" s="124"/>
      <c r="S138" s="122">
        <f>SUM(Table7[[#This Row],[1]:[12]])</f>
        <v>13</v>
      </c>
      <c r="T138" s="122">
        <f t="shared" si="6"/>
        <v>1</v>
      </c>
      <c r="U138" s="62" t="s">
        <v>189</v>
      </c>
      <c r="V138" s="65" t="str">
        <f>IF(Table7[[#This Row],[Observed? Y or N]]="N", "-20", "0")</f>
        <v>0</v>
      </c>
      <c r="W138" s="53">
        <f>Table7[[#This Row],[Total]]+Table7[[#This Row],[Penalty Applied]]</f>
        <v>13</v>
      </c>
      <c r="X138" s="65"/>
    </row>
    <row r="139" spans="5:26" x14ac:dyDescent="0.3">
      <c r="E139" s="126" t="s">
        <v>177</v>
      </c>
      <c r="F139" s="126" t="s">
        <v>28</v>
      </c>
      <c r="G139" s="130"/>
      <c r="H139" s="130"/>
      <c r="I139" s="130"/>
      <c r="J139" s="130">
        <v>13</v>
      </c>
      <c r="K139" s="130"/>
      <c r="L139" s="130"/>
      <c r="M139" s="130"/>
      <c r="N139" s="130"/>
      <c r="O139" s="53"/>
      <c r="P139" s="130"/>
      <c r="Q139" s="130"/>
      <c r="R139" s="126"/>
      <c r="S139" s="132">
        <f>SUM(Table7[[#This Row],[1]:[12]])</f>
        <v>13</v>
      </c>
      <c r="T139" s="121">
        <f t="shared" si="6"/>
        <v>1</v>
      </c>
      <c r="U139" s="62" t="s">
        <v>189</v>
      </c>
      <c r="V139" s="51" t="str">
        <f>IF(Table7[[#This Row],[Observed? Y or N]]="N", "-20", "0")</f>
        <v>0</v>
      </c>
      <c r="W139" s="64">
        <f>Table7[[#This Row],[Total]]+Table7[[#This Row],[Penalty Applied]]</f>
        <v>13</v>
      </c>
      <c r="X139" s="65"/>
    </row>
    <row r="140" spans="5:26" x14ac:dyDescent="0.3">
      <c r="E140" s="126" t="s">
        <v>73</v>
      </c>
      <c r="F140" s="124" t="s">
        <v>26</v>
      </c>
      <c r="G140" s="127"/>
      <c r="H140" s="127">
        <v>6</v>
      </c>
      <c r="I140" s="130"/>
      <c r="J140" s="130"/>
      <c r="K140" s="130"/>
      <c r="L140" s="130">
        <v>6</v>
      </c>
      <c r="M140" s="130"/>
      <c r="N140" s="130"/>
      <c r="O140" s="53"/>
      <c r="P140" s="127"/>
      <c r="Q140" s="127"/>
      <c r="R140" s="124"/>
      <c r="S140" s="122">
        <f>SUM(Table7[[#This Row],[1]:[12]])</f>
        <v>12</v>
      </c>
      <c r="T140" s="122">
        <f t="shared" si="6"/>
        <v>2</v>
      </c>
      <c r="U140" s="62" t="s">
        <v>189</v>
      </c>
      <c r="V140" s="65" t="str">
        <f>IF(Table7[[#This Row],[Observed? Y or N]]="N", "-20", "0")</f>
        <v>0</v>
      </c>
      <c r="W140" s="53">
        <f>Table7[[#This Row],[Total]]+Table7[[#This Row],[Penalty Applied]]</f>
        <v>12</v>
      </c>
      <c r="X140" s="65"/>
    </row>
    <row r="141" spans="5:26" x14ac:dyDescent="0.3">
      <c r="E141" s="126" t="s">
        <v>211</v>
      </c>
      <c r="F141" s="126" t="s">
        <v>27</v>
      </c>
      <c r="G141" s="130"/>
      <c r="H141" s="130"/>
      <c r="I141" s="130"/>
      <c r="J141" s="130"/>
      <c r="K141" s="130"/>
      <c r="L141" s="152">
        <v>10</v>
      </c>
      <c r="M141" s="152"/>
      <c r="N141" s="152"/>
      <c r="O141" s="53"/>
      <c r="P141" s="123"/>
      <c r="Q141" s="123"/>
      <c r="R141" s="124"/>
      <c r="S141" s="122">
        <f>SUM(Table7[[#This Row],[1]:[12]])</f>
        <v>10</v>
      </c>
      <c r="T141" s="122">
        <f t="shared" si="6"/>
        <v>1</v>
      </c>
      <c r="U141" s="62" t="s">
        <v>189</v>
      </c>
      <c r="V141" s="65" t="str">
        <f>IF(Table7[[#This Row],[Observed? Y or N]]="N", "-20", "0")</f>
        <v>0</v>
      </c>
      <c r="W141" s="53">
        <f>Table7[[#This Row],[Total]]+Table7[[#This Row],[Penalty Applied]]</f>
        <v>10</v>
      </c>
      <c r="X141" s="65"/>
    </row>
    <row r="142" spans="5:26" x14ac:dyDescent="0.3">
      <c r="E142" s="59" t="s">
        <v>217</v>
      </c>
      <c r="F142" s="59" t="s">
        <v>30</v>
      </c>
      <c r="G142" s="40"/>
      <c r="H142" s="40"/>
      <c r="I142" s="60"/>
      <c r="J142" s="60"/>
      <c r="K142" s="60"/>
      <c r="L142" s="60"/>
      <c r="M142" s="60">
        <v>13</v>
      </c>
      <c r="N142" s="60">
        <v>17</v>
      </c>
      <c r="O142" s="53"/>
      <c r="P142" s="40"/>
      <c r="Q142" s="40"/>
      <c r="R142" s="39"/>
      <c r="S142" s="41">
        <f>SUM(Table7[[#This Row],[1]:[12]])</f>
        <v>30</v>
      </c>
      <c r="T142" s="41">
        <f t="shared" si="6"/>
        <v>2</v>
      </c>
      <c r="U142" s="9" t="s">
        <v>80</v>
      </c>
      <c r="V142" s="43" t="str">
        <f>IF(Table7[[#This Row],[Observed? Y or N]]="N", "-20", "0")</f>
        <v>-20</v>
      </c>
      <c r="W142" s="38">
        <f>Table7[[#This Row],[Total]]+Table7[[#This Row],[Penalty Applied]]</f>
        <v>10</v>
      </c>
      <c r="X142" s="65"/>
    </row>
    <row r="143" spans="5:26" ht="15" x14ac:dyDescent="0.3">
      <c r="E143" s="59" t="s">
        <v>248</v>
      </c>
      <c r="F143" s="59" t="s">
        <v>27</v>
      </c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>
        <v>5</v>
      </c>
      <c r="R143" s="59">
        <v>15</v>
      </c>
      <c r="S143" s="58">
        <f>SUM(Table7[[#This Row],[1]:[12]])</f>
        <v>20</v>
      </c>
      <c r="T143" s="67">
        <f t="shared" si="6"/>
        <v>2</v>
      </c>
      <c r="U143" s="62" t="s">
        <v>80</v>
      </c>
      <c r="V143" s="63" t="str">
        <f>IF(Table7[[#This Row],[Observed? Y or N]]="N", "-20", "0")</f>
        <v>-20</v>
      </c>
      <c r="W143" s="78">
        <f>Table7[[#This Row],[Total]]+Table7[[#This Row],[Penalty Applied]]</f>
        <v>0</v>
      </c>
      <c r="X143" s="65"/>
      <c r="Z143" s="33"/>
    </row>
    <row r="144" spans="5:26" ht="15" x14ac:dyDescent="0.3">
      <c r="E144" s="59" t="s">
        <v>236</v>
      </c>
      <c r="F144" s="67"/>
      <c r="G144" s="60"/>
      <c r="H144" s="60"/>
      <c r="I144" s="60"/>
      <c r="J144" s="60"/>
      <c r="K144" s="60"/>
      <c r="L144" s="60"/>
      <c r="M144" s="40"/>
      <c r="N144" s="40"/>
      <c r="O144" s="40"/>
      <c r="P144" s="40">
        <v>17</v>
      </c>
      <c r="Q144" s="40"/>
      <c r="R144" s="39"/>
      <c r="S144" s="41">
        <f>SUM(Table7[[#This Row],[1]:[12]])</f>
        <v>17</v>
      </c>
      <c r="T144" s="41">
        <f t="shared" si="6"/>
        <v>1</v>
      </c>
      <c r="U144" s="9" t="s">
        <v>80</v>
      </c>
      <c r="V144" s="43" t="str">
        <f>IF(Table7[[#This Row],[Observed? Y or N]]="N", "-20", "0")</f>
        <v>-20</v>
      </c>
      <c r="W144" s="38">
        <f>Table7[[#This Row],[Total]]+Table7[[#This Row],[Penalty Applied]]</f>
        <v>-3</v>
      </c>
      <c r="X144" s="65"/>
      <c r="Z144" s="33"/>
    </row>
    <row r="145" spans="5:26" ht="15" x14ac:dyDescent="0.3">
      <c r="E145" s="59" t="s">
        <v>197</v>
      </c>
      <c r="F145" s="59" t="s">
        <v>123</v>
      </c>
      <c r="G145" s="60"/>
      <c r="H145" s="60"/>
      <c r="I145" s="60"/>
      <c r="J145" s="60"/>
      <c r="K145" s="60">
        <v>15</v>
      </c>
      <c r="L145" s="60"/>
      <c r="M145" s="60"/>
      <c r="N145" s="60"/>
      <c r="O145" s="53"/>
      <c r="P145" s="60"/>
      <c r="Q145" s="60"/>
      <c r="R145" s="59"/>
      <c r="S145" s="58">
        <f>SUM(Table7[[#This Row],[1]:[12]])</f>
        <v>15</v>
      </c>
      <c r="T145" s="67">
        <f>COUNTIF(L145:R145,"&gt;1")</f>
        <v>0</v>
      </c>
      <c r="U145" s="62" t="s">
        <v>80</v>
      </c>
      <c r="V145" s="63" t="str">
        <f>IF(Table7[[#This Row],[Observed? Y or N]]="N", "-20", "0")</f>
        <v>-20</v>
      </c>
      <c r="W145" s="78">
        <f>Table7[[#This Row],[Total]]+Table7[[#This Row],[Penalty Applied]]</f>
        <v>-5</v>
      </c>
      <c r="X145" s="65"/>
      <c r="Z145" s="34"/>
    </row>
    <row r="146" spans="5:26" ht="15" x14ac:dyDescent="0.3">
      <c r="E146" s="59" t="s">
        <v>61</v>
      </c>
      <c r="F146" s="39" t="s">
        <v>216</v>
      </c>
      <c r="G146" s="40"/>
      <c r="H146" s="40"/>
      <c r="I146" s="60"/>
      <c r="J146" s="60"/>
      <c r="K146" s="60"/>
      <c r="L146" s="60"/>
      <c r="M146" s="60">
        <v>15</v>
      </c>
      <c r="N146" s="60"/>
      <c r="O146" s="53"/>
      <c r="P146" s="40"/>
      <c r="Q146" s="40"/>
      <c r="R146" s="39"/>
      <c r="S146" s="41">
        <f>SUM(Table7[[#This Row],[1]:[12]])</f>
        <v>15</v>
      </c>
      <c r="T146" s="41">
        <f t="shared" ref="T146:T154" si="7">COUNTIF(G146:R146,"&gt;1")</f>
        <v>1</v>
      </c>
      <c r="U146" s="9" t="s">
        <v>80</v>
      </c>
      <c r="V146" s="43" t="str">
        <f>IF(Table7[[#This Row],[Observed? Y or N]]="N", "-20", "0")</f>
        <v>-20</v>
      </c>
      <c r="W146" s="38">
        <f>Table7[[#This Row],[Total]]+Table7[[#This Row],[Penalty Applied]]</f>
        <v>-5</v>
      </c>
      <c r="X146" s="65"/>
      <c r="Z146" s="33"/>
    </row>
    <row r="147" spans="5:26" x14ac:dyDescent="0.3">
      <c r="E147" s="59" t="s">
        <v>198</v>
      </c>
      <c r="F147" s="59" t="s">
        <v>123</v>
      </c>
      <c r="G147" s="60"/>
      <c r="H147" s="60"/>
      <c r="I147" s="60"/>
      <c r="J147" s="60"/>
      <c r="K147" s="60">
        <v>13</v>
      </c>
      <c r="L147" s="60"/>
      <c r="M147" s="60"/>
      <c r="N147" s="60"/>
      <c r="O147" s="53"/>
      <c r="P147" s="60"/>
      <c r="Q147" s="60"/>
      <c r="R147" s="59"/>
      <c r="S147" s="58">
        <f>SUM(Table7[[#This Row],[1]:[12]])</f>
        <v>13</v>
      </c>
      <c r="T147" s="67">
        <f t="shared" si="7"/>
        <v>1</v>
      </c>
      <c r="U147" s="62" t="s">
        <v>80</v>
      </c>
      <c r="V147" s="63" t="str">
        <f>IF(Table7[[#This Row],[Observed? Y or N]]="N", "-20", "0")</f>
        <v>-20</v>
      </c>
      <c r="W147" s="78">
        <f>Table7[[#This Row],[Total]]+Table7[[#This Row],[Penalty Applied]]</f>
        <v>-7</v>
      </c>
      <c r="X147" s="65"/>
    </row>
    <row r="148" spans="5:26" x14ac:dyDescent="0.3">
      <c r="E148" s="59" t="s">
        <v>243</v>
      </c>
      <c r="F148" s="39" t="s">
        <v>27</v>
      </c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>
        <v>13</v>
      </c>
      <c r="R148" s="39"/>
      <c r="S148" s="41">
        <f>SUM(Table7[[#This Row],[1]:[12]])</f>
        <v>13</v>
      </c>
      <c r="T148" s="41">
        <f t="shared" si="7"/>
        <v>1</v>
      </c>
      <c r="U148" s="9" t="s">
        <v>80</v>
      </c>
      <c r="V148" s="43" t="str">
        <f>IF(Table7[[#This Row],[Observed? Y or N]]="N", "-20", "0")</f>
        <v>-20</v>
      </c>
      <c r="W148" s="38">
        <f>Table7[[#This Row],[Total]]+Table7[[#This Row],[Penalty Applied]]</f>
        <v>-7</v>
      </c>
      <c r="X148" s="65"/>
    </row>
    <row r="149" spans="5:26" x14ac:dyDescent="0.3">
      <c r="E149" s="59" t="s">
        <v>199</v>
      </c>
      <c r="F149" s="59" t="s">
        <v>160</v>
      </c>
      <c r="G149" s="81"/>
      <c r="H149" s="81"/>
      <c r="I149" s="81"/>
      <c r="J149" s="81"/>
      <c r="K149" s="81">
        <v>11</v>
      </c>
      <c r="L149" s="60"/>
      <c r="M149" s="60"/>
      <c r="N149" s="60"/>
      <c r="O149" s="53"/>
      <c r="P149" s="40"/>
      <c r="Q149" s="40"/>
      <c r="R149" s="39"/>
      <c r="S149" s="41">
        <f>SUM(Table7[[#This Row],[1]:[12]])</f>
        <v>11</v>
      </c>
      <c r="T149" s="41">
        <f t="shared" si="7"/>
        <v>1</v>
      </c>
      <c r="U149" s="62" t="s">
        <v>80</v>
      </c>
      <c r="V149" s="43" t="str">
        <f>IF(Table7[[#This Row],[Observed? Y or N]]="N", "-20", "0")</f>
        <v>-20</v>
      </c>
      <c r="W149" s="38">
        <f>Table7[[#This Row],[Total]]+Table7[[#This Row],[Penalty Applied]]</f>
        <v>-9</v>
      </c>
      <c r="X149" s="65"/>
    </row>
    <row r="150" spans="5:26" x14ac:dyDescent="0.3">
      <c r="E150" s="59" t="s">
        <v>108</v>
      </c>
      <c r="F150" s="41" t="s">
        <v>123</v>
      </c>
      <c r="G150" s="40"/>
      <c r="H150" s="40">
        <v>9</v>
      </c>
      <c r="I150" s="60"/>
      <c r="J150" s="60"/>
      <c r="K150" s="60"/>
      <c r="L150" s="60"/>
      <c r="M150" s="60"/>
      <c r="N150" s="60"/>
      <c r="O150" s="53"/>
      <c r="P150" s="40"/>
      <c r="Q150" s="40"/>
      <c r="R150" s="39"/>
      <c r="S150" s="41">
        <f>SUM(Table7[[#This Row],[1]:[12]])</f>
        <v>9</v>
      </c>
      <c r="T150" s="41">
        <f t="shared" si="7"/>
        <v>1</v>
      </c>
      <c r="U150" s="62" t="s">
        <v>80</v>
      </c>
      <c r="V150" s="43" t="str">
        <f>IF(Table7[[#This Row],[Observed? Y or N]]="N", "-20", "0")</f>
        <v>-20</v>
      </c>
      <c r="W150" s="38">
        <f>Table7[[#This Row],[Total]]+Table7[[#This Row],[Penalty Applied]]</f>
        <v>-11</v>
      </c>
      <c r="X150" s="65"/>
    </row>
    <row r="151" spans="5:26" x14ac:dyDescent="0.3">
      <c r="E151" s="59" t="s">
        <v>244</v>
      </c>
      <c r="F151" s="41" t="s">
        <v>121</v>
      </c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>
        <v>9</v>
      </c>
      <c r="R151" s="39"/>
      <c r="S151" s="41">
        <f>SUM(Table7[[#This Row],[1]:[12]])</f>
        <v>9</v>
      </c>
      <c r="T151" s="41">
        <f t="shared" si="7"/>
        <v>1</v>
      </c>
      <c r="U151" s="9" t="s">
        <v>80</v>
      </c>
      <c r="V151" s="43" t="str">
        <f>IF(Table7[[#This Row],[Observed? Y or N]]="N", "-20", "0")</f>
        <v>-20</v>
      </c>
      <c r="W151" s="38">
        <f>Table7[[#This Row],[Total]]+Table7[[#This Row],[Penalty Applied]]</f>
        <v>-11</v>
      </c>
      <c r="X151" s="65"/>
    </row>
    <row r="152" spans="5:26" x14ac:dyDescent="0.3">
      <c r="E152" s="59" t="s">
        <v>145</v>
      </c>
      <c r="F152" s="41" t="s">
        <v>121</v>
      </c>
      <c r="G152" s="40"/>
      <c r="H152" s="40">
        <v>8</v>
      </c>
      <c r="I152" s="60"/>
      <c r="J152" s="60"/>
      <c r="K152" s="60"/>
      <c r="L152" s="60"/>
      <c r="M152" s="60"/>
      <c r="N152" s="60"/>
      <c r="O152" s="53"/>
      <c r="P152" s="40"/>
      <c r="Q152" s="40"/>
      <c r="R152" s="39"/>
      <c r="S152" s="41">
        <f>SUM(Table7[[#This Row],[1]:[12]])</f>
        <v>8</v>
      </c>
      <c r="T152" s="41">
        <f t="shared" si="7"/>
        <v>1</v>
      </c>
      <c r="U152" s="62" t="s">
        <v>80</v>
      </c>
      <c r="V152" s="43" t="str">
        <f>IF(Table7[[#This Row],[Observed? Y or N]]="N", "-20", "0")</f>
        <v>-20</v>
      </c>
      <c r="W152" s="38">
        <f>Table7[[#This Row],[Total]]+Table7[[#This Row],[Penalty Applied]]</f>
        <v>-12</v>
      </c>
      <c r="X152" s="65"/>
    </row>
    <row r="153" spans="5:26" x14ac:dyDescent="0.3">
      <c r="E153" s="59" t="s">
        <v>208</v>
      </c>
      <c r="F153" s="59" t="s">
        <v>26</v>
      </c>
      <c r="G153" s="60"/>
      <c r="H153" s="60"/>
      <c r="I153" s="60"/>
      <c r="J153" s="60"/>
      <c r="K153" s="60"/>
      <c r="L153" s="60">
        <v>8</v>
      </c>
      <c r="M153" s="60"/>
      <c r="N153" s="60"/>
      <c r="O153" s="53"/>
      <c r="P153" s="60"/>
      <c r="Q153" s="60"/>
      <c r="R153" s="59"/>
      <c r="S153" s="58">
        <f>SUM(Table7[[#This Row],[1]:[12]])</f>
        <v>8</v>
      </c>
      <c r="T153" s="67">
        <f t="shared" si="7"/>
        <v>1</v>
      </c>
      <c r="U153" s="62" t="s">
        <v>80</v>
      </c>
      <c r="V153" s="63" t="str">
        <f>IF(Table7[[#This Row],[Observed? Y or N]]="N", "-20", "0")</f>
        <v>-20</v>
      </c>
      <c r="W153" s="78">
        <f>Table7[[#This Row],[Total]]+Table7[[#This Row],[Penalty Applied]]</f>
        <v>-12</v>
      </c>
      <c r="X153" s="65"/>
    </row>
    <row r="154" spans="5:26" x14ac:dyDescent="0.3">
      <c r="E154" s="59" t="s">
        <v>245</v>
      </c>
      <c r="F154" s="67" t="s">
        <v>121</v>
      </c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>
        <v>8</v>
      </c>
      <c r="R154" s="59"/>
      <c r="S154" s="58">
        <f>SUM(Table7[[#This Row],[1]:[12]])</f>
        <v>8</v>
      </c>
      <c r="T154" s="67">
        <f t="shared" si="7"/>
        <v>1</v>
      </c>
      <c r="U154" s="62" t="s">
        <v>80</v>
      </c>
      <c r="V154" s="63" t="str">
        <f>IF(Table7[[#This Row],[Observed? Y or N]]="N", "-20", "0")</f>
        <v>-20</v>
      </c>
      <c r="W154" s="78">
        <f>Table7[[#This Row],[Total]]+Table7[[#This Row],[Penalty Applied]]</f>
        <v>-12</v>
      </c>
      <c r="X154" s="65"/>
    </row>
    <row r="155" spans="5:26" x14ac:dyDescent="0.3">
      <c r="E155" s="59" t="s">
        <v>246</v>
      </c>
      <c r="F155" s="39" t="s">
        <v>42</v>
      </c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>
        <v>7</v>
      </c>
      <c r="R155" s="39"/>
      <c r="S155" s="41">
        <f>SUM(Table7[[#This Row],[1]:[12]])</f>
        <v>7</v>
      </c>
      <c r="T155" s="41">
        <f>COUNTIF(M155:R155,"&gt;1")</f>
        <v>1</v>
      </c>
      <c r="U155" s="9" t="s">
        <v>80</v>
      </c>
      <c r="V155" s="43" t="str">
        <f>IF(Table7[[#This Row],[Observed? Y or N]]="N", "-20", "0")</f>
        <v>-20</v>
      </c>
      <c r="W155" s="38">
        <f>Table7[[#This Row],[Total]]+Table7[[#This Row],[Penalty Applied]]</f>
        <v>-13</v>
      </c>
      <c r="X155" s="65"/>
    </row>
    <row r="156" spans="5:26" x14ac:dyDescent="0.3">
      <c r="E156" s="59" t="s">
        <v>247</v>
      </c>
      <c r="F156" s="41" t="s">
        <v>31</v>
      </c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>
        <v>6</v>
      </c>
      <c r="R156" s="39"/>
      <c r="S156" s="41">
        <f>SUM(Table7[[#This Row],[1]:[12]])</f>
        <v>6</v>
      </c>
      <c r="T156" s="41">
        <f>COUNTIF(G156:R156,"&gt;1")</f>
        <v>1</v>
      </c>
      <c r="U156" s="9" t="s">
        <v>80</v>
      </c>
      <c r="V156" s="43" t="str">
        <f>IF(Table7[[#This Row],[Observed? Y or N]]="N", "-20", "0")</f>
        <v>-20</v>
      </c>
      <c r="W156" s="38">
        <f>Table7[[#This Row],[Total]]+Table7[[#This Row],[Penalty Applied]]</f>
        <v>-14</v>
      </c>
      <c r="X156" s="65"/>
    </row>
    <row r="157" spans="5:26" x14ac:dyDescent="0.3">
      <c r="E157" s="59"/>
      <c r="F157" s="41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39"/>
      <c r="S157" s="41">
        <f>SUM(Table7[[#This Row],[1]:[12]])</f>
        <v>0</v>
      </c>
      <c r="T157" s="41">
        <f>COUNTIF(G157:R157,"&gt;1")</f>
        <v>0</v>
      </c>
      <c r="U157" s="9" t="s">
        <v>80</v>
      </c>
      <c r="V157" s="43" t="str">
        <f>IF(Table7[[#This Row],[Observed? Y or N]]="N", "-20", "0")</f>
        <v>-20</v>
      </c>
      <c r="W157" s="38">
        <f>Table7[[#This Row],[Total]]+Table7[[#This Row],[Penalty Applied]]</f>
        <v>-20</v>
      </c>
      <c r="X157" s="65"/>
    </row>
    <row r="159" spans="5:26" ht="15" thickBot="1" x14ac:dyDescent="0.35"/>
    <row r="160" spans="5:26" ht="153" thickBot="1" x14ac:dyDescent="0.35">
      <c r="E160" s="36" t="s">
        <v>38</v>
      </c>
      <c r="F160" s="36" t="s">
        <v>137</v>
      </c>
      <c r="G160" s="37" t="s">
        <v>88</v>
      </c>
      <c r="H160" s="37" t="s">
        <v>89</v>
      </c>
      <c r="I160" s="37" t="s">
        <v>90</v>
      </c>
      <c r="J160" s="37" t="s">
        <v>91</v>
      </c>
      <c r="K160" s="37" t="s">
        <v>92</v>
      </c>
      <c r="L160" s="37" t="s">
        <v>93</v>
      </c>
      <c r="M160" s="37" t="s">
        <v>94</v>
      </c>
      <c r="N160" s="37" t="s">
        <v>95</v>
      </c>
      <c r="O160" s="37" t="s">
        <v>96</v>
      </c>
      <c r="P160" s="37" t="s">
        <v>97</v>
      </c>
      <c r="Q160" s="37" t="s">
        <v>98</v>
      </c>
      <c r="R160" s="37" t="s">
        <v>99</v>
      </c>
      <c r="S160" s="7" t="s">
        <v>32</v>
      </c>
      <c r="T160" s="7" t="s">
        <v>43</v>
      </c>
      <c r="U160" s="82" t="s">
        <v>78</v>
      </c>
      <c r="V160" s="7" t="s">
        <v>81</v>
      </c>
      <c r="W160" s="32" t="s">
        <v>79</v>
      </c>
      <c r="X160" s="32" t="s">
        <v>15</v>
      </c>
    </row>
    <row r="161" spans="5:24" x14ac:dyDescent="0.3">
      <c r="E161" s="126" t="s">
        <v>61</v>
      </c>
      <c r="F161" s="124" t="s">
        <v>151</v>
      </c>
      <c r="G161" s="125">
        <v>17</v>
      </c>
      <c r="H161" s="127">
        <v>20</v>
      </c>
      <c r="I161" s="130"/>
      <c r="J161" s="130">
        <v>20</v>
      </c>
      <c r="K161" s="130"/>
      <c r="L161" s="130"/>
      <c r="M161" s="130"/>
      <c r="N161" s="130"/>
      <c r="O161" s="127">
        <v>17</v>
      </c>
      <c r="P161" s="127"/>
      <c r="Q161" s="127"/>
      <c r="R161" s="124">
        <v>17</v>
      </c>
      <c r="S161" s="131">
        <f>SUM(Table8[[#This Row],[1]:[12]])</f>
        <v>91</v>
      </c>
      <c r="T161" s="131">
        <f t="shared" ref="T161:T187" si="8">COUNTIF(G161:R161,"&gt;1")</f>
        <v>5</v>
      </c>
      <c r="U161" s="9" t="s">
        <v>189</v>
      </c>
      <c r="V161" s="72" t="str">
        <f>IF(Table8[[#This Row],[Observed? Y or N]]="N", "-20", "0")</f>
        <v>0</v>
      </c>
      <c r="W161" s="65">
        <f>Table8[[#This Row],[Total]]+Table8[[#This Row],[Penalty Applied]]</f>
        <v>91</v>
      </c>
      <c r="X161" s="65" t="s">
        <v>0</v>
      </c>
    </row>
    <row r="162" spans="5:24" x14ac:dyDescent="0.3">
      <c r="E162" s="126" t="s">
        <v>110</v>
      </c>
      <c r="F162" s="124" t="s">
        <v>28</v>
      </c>
      <c r="G162" s="125"/>
      <c r="H162" s="127"/>
      <c r="I162" s="127"/>
      <c r="J162" s="127"/>
      <c r="K162" s="127"/>
      <c r="L162" s="127"/>
      <c r="M162" s="127"/>
      <c r="N162" s="127">
        <v>20</v>
      </c>
      <c r="O162" s="127">
        <v>15</v>
      </c>
      <c r="P162" s="127">
        <v>17</v>
      </c>
      <c r="Q162" s="127">
        <v>13</v>
      </c>
      <c r="R162" s="124">
        <v>13</v>
      </c>
      <c r="S162" s="122">
        <f>SUM(Table8[[#This Row],[1]:[12]])</f>
        <v>78</v>
      </c>
      <c r="T162" s="122">
        <f t="shared" si="8"/>
        <v>5</v>
      </c>
      <c r="U162" s="9" t="s">
        <v>189</v>
      </c>
      <c r="V162" s="65" t="str">
        <f>IF(Table8[[#This Row],[Observed? Y or N]]="N", "-20", "0")</f>
        <v>0</v>
      </c>
      <c r="W162" s="65">
        <f>Table8[[#This Row],[Total]]+Table8[[#This Row],[Penalty Applied]]</f>
        <v>78</v>
      </c>
      <c r="X162" s="65" t="s">
        <v>1</v>
      </c>
    </row>
    <row r="163" spans="5:24" x14ac:dyDescent="0.3">
      <c r="E163" s="59" t="s">
        <v>155</v>
      </c>
      <c r="F163" s="39" t="s">
        <v>124</v>
      </c>
      <c r="G163" s="45">
        <v>20</v>
      </c>
      <c r="H163" s="40"/>
      <c r="I163" s="60"/>
      <c r="J163" s="60"/>
      <c r="K163" s="60"/>
      <c r="L163" s="60"/>
      <c r="M163" s="60"/>
      <c r="N163" s="53"/>
      <c r="O163" s="40">
        <v>20</v>
      </c>
      <c r="P163" s="40">
        <v>20</v>
      </c>
      <c r="Q163" s="40">
        <v>17</v>
      </c>
      <c r="R163" s="39"/>
      <c r="S163" s="41">
        <f>SUM(Table8[[#This Row],[1]:[12]])</f>
        <v>77</v>
      </c>
      <c r="T163" s="41">
        <f t="shared" si="8"/>
        <v>4</v>
      </c>
      <c r="U163" s="9" t="s">
        <v>80</v>
      </c>
      <c r="V163" s="43" t="str">
        <f>IF(Table8[[#This Row],[Observed? Y or N]]="N", "-20", "0")</f>
        <v>-20</v>
      </c>
      <c r="W163" s="43">
        <f>Table8[[#This Row],[Total]]+Table8[[#This Row],[Penalty Applied]]</f>
        <v>57</v>
      </c>
      <c r="X163" s="65" t="s">
        <v>2</v>
      </c>
    </row>
    <row r="164" spans="5:24" s="53" customFormat="1" x14ac:dyDescent="0.3">
      <c r="E164" s="126" t="s">
        <v>71</v>
      </c>
      <c r="F164" s="124" t="s">
        <v>26</v>
      </c>
      <c r="G164" s="125"/>
      <c r="H164" s="127">
        <v>17</v>
      </c>
      <c r="I164" s="130"/>
      <c r="J164" s="130">
        <v>17</v>
      </c>
      <c r="K164" s="130"/>
      <c r="L164" s="130"/>
      <c r="M164" s="130"/>
      <c r="O164" s="127">
        <v>13</v>
      </c>
      <c r="P164" s="127"/>
      <c r="Q164" s="127"/>
      <c r="R164" s="124"/>
      <c r="S164" s="122">
        <f>SUM(Table8[[#This Row],[1]:[12]])</f>
        <v>47</v>
      </c>
      <c r="T164" s="122">
        <f t="shared" si="8"/>
        <v>3</v>
      </c>
      <c r="U164" s="9" t="s">
        <v>189</v>
      </c>
      <c r="V164" s="65" t="str">
        <f>IF(Table8[[#This Row],[Observed? Y or N]]="N", "-20", "0")</f>
        <v>0</v>
      </c>
      <c r="W164" s="65">
        <f>Table8[[#This Row],[Total]]+Table8[[#This Row],[Penalty Applied]]</f>
        <v>47</v>
      </c>
      <c r="X164" s="65"/>
    </row>
    <row r="165" spans="5:24" x14ac:dyDescent="0.3">
      <c r="E165" s="126" t="s">
        <v>129</v>
      </c>
      <c r="F165" s="124" t="s">
        <v>30</v>
      </c>
      <c r="G165" s="125"/>
      <c r="H165" s="127"/>
      <c r="I165" s="130">
        <v>20</v>
      </c>
      <c r="J165" s="130">
        <v>15</v>
      </c>
      <c r="K165" s="130"/>
      <c r="L165" s="130"/>
      <c r="M165" s="130"/>
      <c r="N165" s="130"/>
      <c r="O165" s="127"/>
      <c r="P165" s="127"/>
      <c r="Q165" s="127">
        <v>11</v>
      </c>
      <c r="R165" s="124"/>
      <c r="S165" s="122">
        <f>SUM(Table8[[#This Row],[1]:[12]])</f>
        <v>46</v>
      </c>
      <c r="T165" s="122">
        <f t="shared" si="8"/>
        <v>3</v>
      </c>
      <c r="U165" s="9" t="s">
        <v>189</v>
      </c>
      <c r="V165" s="65" t="str">
        <f>IF(Table8[[#This Row],[Observed? Y or N]]="N", "-20", "0")</f>
        <v>0</v>
      </c>
      <c r="W165" s="65">
        <f>Table8[[#This Row],[Total]]+Table8[[#This Row],[Penalty Applied]]</f>
        <v>46</v>
      </c>
      <c r="X165" s="65"/>
    </row>
    <row r="166" spans="5:24" x14ac:dyDescent="0.3">
      <c r="E166" s="126" t="s">
        <v>85</v>
      </c>
      <c r="F166" s="126" t="s">
        <v>42</v>
      </c>
      <c r="G166" s="143"/>
      <c r="H166" s="130">
        <v>13</v>
      </c>
      <c r="I166" s="130"/>
      <c r="J166" s="130">
        <v>11</v>
      </c>
      <c r="K166" s="130"/>
      <c r="L166" s="130"/>
      <c r="M166" s="130"/>
      <c r="N166" s="53"/>
      <c r="O166" s="130"/>
      <c r="P166" s="130"/>
      <c r="Q166" s="130"/>
      <c r="R166" s="126"/>
      <c r="S166" s="121">
        <f>SUM(Table8[[#This Row],[1]:[12]])</f>
        <v>24</v>
      </c>
      <c r="T166" s="121">
        <f t="shared" si="8"/>
        <v>2</v>
      </c>
      <c r="U166" s="52" t="s">
        <v>189</v>
      </c>
      <c r="V166" s="65" t="str">
        <f>IF(Table8[[#This Row],[Observed? Y or N]]="N", "-20", "0")</f>
        <v>0</v>
      </c>
      <c r="W166" s="65">
        <f>Table8[[#This Row],[Total]]+Table8[[#This Row],[Penalty Applied]]</f>
        <v>24</v>
      </c>
      <c r="X166" s="65"/>
    </row>
    <row r="167" spans="5:24" x14ac:dyDescent="0.3">
      <c r="E167" s="126" t="s">
        <v>200</v>
      </c>
      <c r="F167" s="124" t="s">
        <v>27</v>
      </c>
      <c r="G167" s="125"/>
      <c r="H167" s="127"/>
      <c r="I167" s="130"/>
      <c r="J167" s="130"/>
      <c r="K167" s="130">
        <v>20</v>
      </c>
      <c r="L167" s="130"/>
      <c r="M167" s="130"/>
      <c r="N167" s="53"/>
      <c r="O167" s="127"/>
      <c r="P167" s="127"/>
      <c r="Q167" s="127"/>
      <c r="R167" s="124"/>
      <c r="S167" s="122">
        <f>SUM(Table8[[#This Row],[1]:[12]])</f>
        <v>20</v>
      </c>
      <c r="T167" s="122">
        <f t="shared" si="8"/>
        <v>1</v>
      </c>
      <c r="U167" s="9" t="s">
        <v>189</v>
      </c>
      <c r="V167" s="77" t="str">
        <f>IF(Table8[[#This Row],[Observed? Y or N]]="N", "-20", "0")</f>
        <v>0</v>
      </c>
      <c r="W167" s="77">
        <f>Table8[[#This Row],[Total]]+Table8[[#This Row],[Penalty Applied]]</f>
        <v>20</v>
      </c>
      <c r="X167" s="77"/>
    </row>
    <row r="168" spans="5:24" x14ac:dyDescent="0.3">
      <c r="E168" s="126" t="s">
        <v>201</v>
      </c>
      <c r="F168" s="124" t="s">
        <v>123</v>
      </c>
      <c r="G168" s="125"/>
      <c r="H168" s="127"/>
      <c r="I168" s="130"/>
      <c r="J168" s="130"/>
      <c r="K168" s="130">
        <v>17</v>
      </c>
      <c r="L168" s="130"/>
      <c r="M168" s="130"/>
      <c r="N168" s="53"/>
      <c r="O168" s="127"/>
      <c r="P168" s="127"/>
      <c r="Q168" s="127"/>
      <c r="R168" s="124"/>
      <c r="S168" s="122">
        <f>SUM(Table8[[#This Row],[1]:[12]])</f>
        <v>17</v>
      </c>
      <c r="T168" s="122">
        <f t="shared" si="8"/>
        <v>1</v>
      </c>
      <c r="U168" s="9" t="s">
        <v>189</v>
      </c>
      <c r="V168" s="77" t="str">
        <f>IF(Table8[[#This Row],[Observed? Y or N]]="N", "-20", "0")</f>
        <v>0</v>
      </c>
      <c r="W168" s="77">
        <f>Table8[[#This Row],[Total]]+Table8[[#This Row],[Penalty Applied]]</f>
        <v>17</v>
      </c>
      <c r="X168" s="77"/>
    </row>
    <row r="169" spans="5:24" x14ac:dyDescent="0.3">
      <c r="E169" s="59" t="s">
        <v>214</v>
      </c>
      <c r="F169" s="39" t="s">
        <v>30</v>
      </c>
      <c r="G169" s="45"/>
      <c r="H169" s="40"/>
      <c r="I169" s="40"/>
      <c r="J169" s="40"/>
      <c r="K169" s="40"/>
      <c r="L169" s="40"/>
      <c r="M169" s="40"/>
      <c r="N169" s="40"/>
      <c r="O169" s="40"/>
      <c r="P169" s="40"/>
      <c r="Q169" s="40">
        <v>20</v>
      </c>
      <c r="R169" s="39">
        <v>15</v>
      </c>
      <c r="S169" s="41">
        <f>SUM(Table8[[#This Row],[1]:[12]])</f>
        <v>35</v>
      </c>
      <c r="T169" s="41">
        <f t="shared" si="8"/>
        <v>2</v>
      </c>
      <c r="U169" s="9" t="s">
        <v>80</v>
      </c>
      <c r="V169" s="43" t="str">
        <f>IF(Table8[[#This Row],[Observed? Y or N]]="N", "-20", "0")</f>
        <v>-20</v>
      </c>
      <c r="W169" s="43">
        <f>Table8[[#This Row],[Total]]+Table8[[#This Row],[Penalty Applied]]</f>
        <v>15</v>
      </c>
      <c r="X169" s="65"/>
    </row>
    <row r="170" spans="5:24" x14ac:dyDescent="0.3">
      <c r="E170" s="59" t="s">
        <v>202</v>
      </c>
      <c r="F170" s="39" t="s">
        <v>121</v>
      </c>
      <c r="G170" s="45"/>
      <c r="H170" s="40"/>
      <c r="I170" s="60"/>
      <c r="J170" s="60"/>
      <c r="K170" s="60">
        <v>15</v>
      </c>
      <c r="L170" s="60"/>
      <c r="M170" s="60"/>
      <c r="N170" s="53"/>
      <c r="O170" s="40"/>
      <c r="P170" s="40">
        <v>13</v>
      </c>
      <c r="Q170" s="40"/>
      <c r="R170" s="39"/>
      <c r="S170" s="41">
        <f>SUM(Table8[[#This Row],[1]:[12]])</f>
        <v>28</v>
      </c>
      <c r="T170" s="41">
        <f t="shared" si="8"/>
        <v>2</v>
      </c>
      <c r="U170" s="9" t="s">
        <v>80</v>
      </c>
      <c r="V170" s="43" t="str">
        <f>IF(Table8[[#This Row],[Observed? Y or N]]="N", "-20", "0")</f>
        <v>-20</v>
      </c>
      <c r="W170" s="43">
        <f>Table8[[#This Row],[Total]]+Table8[[#This Row],[Penalty Applied]]</f>
        <v>8</v>
      </c>
      <c r="X170" s="65"/>
    </row>
    <row r="171" spans="5:24" x14ac:dyDescent="0.3">
      <c r="E171" s="59" t="s">
        <v>238</v>
      </c>
      <c r="F171" s="39" t="s">
        <v>27</v>
      </c>
      <c r="G171" s="45"/>
      <c r="H171" s="40"/>
      <c r="I171" s="40"/>
      <c r="J171" s="40"/>
      <c r="K171" s="40"/>
      <c r="L171" s="40"/>
      <c r="M171" s="40"/>
      <c r="N171" s="40"/>
      <c r="O171" s="40"/>
      <c r="P171" s="40">
        <v>11</v>
      </c>
      <c r="Q171" s="40"/>
      <c r="R171" s="39">
        <v>11</v>
      </c>
      <c r="S171" s="41">
        <f>SUM(Table8[[#This Row],[1]:[12]])</f>
        <v>22</v>
      </c>
      <c r="T171" s="41">
        <f t="shared" si="8"/>
        <v>2</v>
      </c>
      <c r="U171" s="9" t="s">
        <v>80</v>
      </c>
      <c r="V171" s="43" t="str">
        <f>IF(Table8[[#This Row],[Observed? Y or N]]="N", "-20", "0")</f>
        <v>-20</v>
      </c>
      <c r="W171" s="43">
        <f>Table8[[#This Row],[Total]]+Table8[[#This Row],[Penalty Applied]]</f>
        <v>2</v>
      </c>
      <c r="X171" s="65"/>
    </row>
    <row r="172" spans="5:24" x14ac:dyDescent="0.3">
      <c r="E172" s="59" t="s">
        <v>60</v>
      </c>
      <c r="F172" s="39" t="s">
        <v>151</v>
      </c>
      <c r="G172" s="45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39">
        <v>20</v>
      </c>
      <c r="S172" s="41">
        <f>SUM(Table8[[#This Row],[1]:[12]])</f>
        <v>20</v>
      </c>
      <c r="T172" s="41">
        <f t="shared" si="8"/>
        <v>1</v>
      </c>
      <c r="U172" s="9" t="s">
        <v>80</v>
      </c>
      <c r="V172" s="43" t="str">
        <f>IF(Table8[[#This Row],[Observed? Y or N]]="N", "-20", "0")</f>
        <v>-20</v>
      </c>
      <c r="W172" s="43">
        <f>Table8[[#This Row],[Total]]+Table8[[#This Row],[Penalty Applied]]</f>
        <v>0</v>
      </c>
      <c r="X172" s="65"/>
    </row>
    <row r="173" spans="5:24" x14ac:dyDescent="0.3">
      <c r="E173" s="59" t="s">
        <v>256</v>
      </c>
      <c r="F173" s="39" t="s">
        <v>27</v>
      </c>
      <c r="G173" s="45"/>
      <c r="H173" s="40"/>
      <c r="I173" s="40"/>
      <c r="J173" s="40"/>
      <c r="K173" s="40"/>
      <c r="L173" s="40"/>
      <c r="M173" s="40"/>
      <c r="N173" s="40"/>
      <c r="O173" s="40"/>
      <c r="P173" s="40"/>
      <c r="Q173" s="40">
        <v>10</v>
      </c>
      <c r="R173" s="39">
        <v>9</v>
      </c>
      <c r="S173" s="41">
        <f>SUM(Table8[[#This Row],[1]:[12]])</f>
        <v>19</v>
      </c>
      <c r="T173" s="41">
        <f t="shared" si="8"/>
        <v>2</v>
      </c>
      <c r="U173" s="9" t="s">
        <v>80</v>
      </c>
      <c r="V173" s="43" t="str">
        <f>IF(Table8[[#This Row],[Observed? Y or N]]="N", "-20", "0")</f>
        <v>-20</v>
      </c>
      <c r="W173" s="43">
        <f>Table8[[#This Row],[Total]]+Table8[[#This Row],[Penalty Applied]]</f>
        <v>-1</v>
      </c>
      <c r="X173" s="65"/>
    </row>
    <row r="174" spans="5:24" x14ac:dyDescent="0.3">
      <c r="E174" s="59" t="s">
        <v>181</v>
      </c>
      <c r="F174" s="39" t="s">
        <v>26</v>
      </c>
      <c r="G174" s="45"/>
      <c r="H174" s="40"/>
      <c r="I174" s="60"/>
      <c r="J174" s="60">
        <v>10</v>
      </c>
      <c r="K174" s="60"/>
      <c r="L174" s="60"/>
      <c r="M174" s="60"/>
      <c r="N174" s="53"/>
      <c r="O174" s="40"/>
      <c r="P174" s="40"/>
      <c r="Q174" s="40">
        <v>8</v>
      </c>
      <c r="R174" s="39"/>
      <c r="S174" s="41">
        <f>SUM(Table8[[#This Row],[1]:[12]])</f>
        <v>18</v>
      </c>
      <c r="T174" s="41">
        <f t="shared" si="8"/>
        <v>2</v>
      </c>
      <c r="U174" s="9" t="s">
        <v>80</v>
      </c>
      <c r="V174" s="43" t="str">
        <f>IF(Table8[[#This Row],[Observed? Y or N]]="N", "-20", "0")</f>
        <v>-20</v>
      </c>
      <c r="W174" s="43">
        <f>Table8[[#This Row],[Total]]+Table8[[#This Row],[Penalty Applied]]</f>
        <v>-2</v>
      </c>
      <c r="X174" s="65"/>
    </row>
    <row r="175" spans="5:24" x14ac:dyDescent="0.3">
      <c r="E175" s="59" t="s">
        <v>152</v>
      </c>
      <c r="F175" s="39" t="s">
        <v>30</v>
      </c>
      <c r="G175" s="45"/>
      <c r="H175" s="40">
        <v>15</v>
      </c>
      <c r="I175" s="60"/>
      <c r="J175" s="60"/>
      <c r="K175" s="60"/>
      <c r="L175" s="60"/>
      <c r="M175" s="60"/>
      <c r="N175" s="53"/>
      <c r="O175" s="40"/>
      <c r="P175" s="40"/>
      <c r="Q175" s="40"/>
      <c r="R175" s="39"/>
      <c r="S175" s="41">
        <f>SUM(Table8[[#This Row],[1]:[12]])</f>
        <v>15</v>
      </c>
      <c r="T175" s="41">
        <f t="shared" si="8"/>
        <v>1</v>
      </c>
      <c r="U175" s="9" t="s">
        <v>80</v>
      </c>
      <c r="V175" s="43" t="str">
        <f>IF(Table8[[#This Row],[Observed? Y or N]]="N", "-20", "0")</f>
        <v>-20</v>
      </c>
      <c r="W175" s="43">
        <f>Table8[[#This Row],[Total]]+Table8[[#This Row],[Penalty Applied]]</f>
        <v>-5</v>
      </c>
      <c r="X175" s="65"/>
    </row>
    <row r="176" spans="5:24" x14ac:dyDescent="0.3">
      <c r="E176" s="59" t="s">
        <v>130</v>
      </c>
      <c r="F176" s="39" t="s">
        <v>27</v>
      </c>
      <c r="G176" s="45">
        <v>15</v>
      </c>
      <c r="H176" s="40"/>
      <c r="I176" s="60"/>
      <c r="J176" s="60"/>
      <c r="K176" s="60"/>
      <c r="L176" s="60"/>
      <c r="M176" s="60"/>
      <c r="N176" s="53"/>
      <c r="O176" s="40"/>
      <c r="P176" s="40"/>
      <c r="Q176" s="40"/>
      <c r="R176" s="39"/>
      <c r="S176" s="41">
        <f>SUM(Table8[[#This Row],[1]:[12]])</f>
        <v>15</v>
      </c>
      <c r="T176" s="41">
        <f t="shared" si="8"/>
        <v>1</v>
      </c>
      <c r="U176" s="9" t="s">
        <v>80</v>
      </c>
      <c r="V176" s="43" t="str">
        <f>IF(Table8[[#This Row],[Observed? Y or N]]="N", "-20", "0")</f>
        <v>-20</v>
      </c>
      <c r="W176" s="43">
        <f>Table8[[#This Row],[Total]]+Table8[[#This Row],[Penalty Applied]]</f>
        <v>-5</v>
      </c>
      <c r="X176" s="65"/>
    </row>
    <row r="177" spans="5:24" x14ac:dyDescent="0.3">
      <c r="E177" s="59" t="s">
        <v>237</v>
      </c>
      <c r="F177" s="39" t="s">
        <v>121</v>
      </c>
      <c r="G177" s="45"/>
      <c r="H177" s="40"/>
      <c r="I177" s="40"/>
      <c r="J177" s="40"/>
      <c r="K177" s="40"/>
      <c r="L177" s="40"/>
      <c r="M177" s="40"/>
      <c r="N177" s="40"/>
      <c r="O177" s="40"/>
      <c r="P177" s="40">
        <v>15</v>
      </c>
      <c r="Q177" s="40"/>
      <c r="R177" s="39"/>
      <c r="S177" s="41">
        <f>SUM(Table8[[#This Row],[1]:[12]])</f>
        <v>15</v>
      </c>
      <c r="T177" s="41">
        <f t="shared" si="8"/>
        <v>1</v>
      </c>
      <c r="U177" s="9" t="s">
        <v>80</v>
      </c>
      <c r="V177" s="43" t="str">
        <f>IF(Table8[[#This Row],[Observed? Y or N]]="N", "-20", "0")</f>
        <v>-20</v>
      </c>
      <c r="W177" s="43">
        <f>Table8[[#This Row],[Total]]+Table8[[#This Row],[Penalty Applied]]</f>
        <v>-5</v>
      </c>
      <c r="X177" s="65"/>
    </row>
    <row r="178" spans="5:24" x14ac:dyDescent="0.3">
      <c r="E178" s="59" t="s">
        <v>255</v>
      </c>
      <c r="F178" s="39" t="s">
        <v>26</v>
      </c>
      <c r="G178" s="45"/>
      <c r="H178" s="40"/>
      <c r="I178" s="40"/>
      <c r="J178" s="40"/>
      <c r="K178" s="40"/>
      <c r="L178" s="40"/>
      <c r="M178" s="40"/>
      <c r="N178" s="40"/>
      <c r="O178" s="40"/>
      <c r="P178" s="40"/>
      <c r="Q178" s="40">
        <v>15</v>
      </c>
      <c r="R178" s="39"/>
      <c r="S178" s="41">
        <f>SUM(Table8[[#This Row],[1]:[12]])</f>
        <v>15</v>
      </c>
      <c r="T178" s="41">
        <f t="shared" si="8"/>
        <v>1</v>
      </c>
      <c r="U178" s="9" t="s">
        <v>80</v>
      </c>
      <c r="V178" s="43" t="str">
        <f>IF(Table8[[#This Row],[Observed? Y or N]]="N", "-20", "0")</f>
        <v>-20</v>
      </c>
      <c r="W178" s="43">
        <f>Table8[[#This Row],[Total]]+Table8[[#This Row],[Penalty Applied]]</f>
        <v>-5</v>
      </c>
      <c r="X178" s="65"/>
    </row>
    <row r="179" spans="5:24" x14ac:dyDescent="0.3">
      <c r="E179" s="59" t="s">
        <v>119</v>
      </c>
      <c r="F179" s="39" t="s">
        <v>124</v>
      </c>
      <c r="G179" s="45">
        <v>13</v>
      </c>
      <c r="H179" s="40"/>
      <c r="I179" s="60"/>
      <c r="J179" s="60"/>
      <c r="K179" s="60"/>
      <c r="L179" s="60"/>
      <c r="M179" s="60"/>
      <c r="N179" s="53"/>
      <c r="O179" s="40"/>
      <c r="P179" s="40"/>
      <c r="Q179" s="40"/>
      <c r="R179" s="39"/>
      <c r="S179" s="41">
        <f>SUM(Table8[[#This Row],[1]:[12]])</f>
        <v>13</v>
      </c>
      <c r="T179" s="41">
        <f t="shared" si="8"/>
        <v>1</v>
      </c>
      <c r="U179" s="9" t="s">
        <v>80</v>
      </c>
      <c r="V179" s="87" t="str">
        <f>IF(Table8[[#This Row],[Observed? Y or N]]="N", "-20", "0")</f>
        <v>-20</v>
      </c>
      <c r="W179" s="87">
        <f>Table8[[#This Row],[Total]]+Table8[[#This Row],[Penalty Applied]]</f>
        <v>-7</v>
      </c>
      <c r="X179" s="77"/>
    </row>
    <row r="180" spans="5:24" x14ac:dyDescent="0.3">
      <c r="E180" s="59" t="s">
        <v>180</v>
      </c>
      <c r="F180" s="39" t="s">
        <v>160</v>
      </c>
      <c r="G180" s="45"/>
      <c r="H180" s="40"/>
      <c r="I180" s="60"/>
      <c r="J180" s="60">
        <v>13</v>
      </c>
      <c r="K180" s="60"/>
      <c r="L180" s="60"/>
      <c r="M180" s="60"/>
      <c r="N180" s="53"/>
      <c r="O180" s="40"/>
      <c r="P180" s="40"/>
      <c r="Q180" s="40"/>
      <c r="R180" s="39"/>
      <c r="S180" s="41">
        <f>SUM(Table8[[#This Row],[1]:[12]])</f>
        <v>13</v>
      </c>
      <c r="T180" s="41">
        <f t="shared" si="8"/>
        <v>1</v>
      </c>
      <c r="U180" s="9" t="s">
        <v>80</v>
      </c>
      <c r="V180" s="43" t="str">
        <f>IF(Table8[[#This Row],[Observed? Y or N]]="N", "-20", "0")</f>
        <v>-20</v>
      </c>
      <c r="W180" s="43">
        <f>Table8[[#This Row],[Total]]+Table8[[#This Row],[Penalty Applied]]</f>
        <v>-7</v>
      </c>
      <c r="X180" s="65"/>
    </row>
    <row r="181" spans="5:24" x14ac:dyDescent="0.3">
      <c r="E181" s="59" t="s">
        <v>203</v>
      </c>
      <c r="F181" s="39" t="s">
        <v>121</v>
      </c>
      <c r="G181" s="45"/>
      <c r="H181" s="40"/>
      <c r="I181" s="60"/>
      <c r="J181" s="60"/>
      <c r="K181" s="60">
        <v>13</v>
      </c>
      <c r="L181" s="60"/>
      <c r="M181" s="60"/>
      <c r="N181" s="53"/>
      <c r="O181" s="40"/>
      <c r="P181" s="40"/>
      <c r="Q181" s="40"/>
      <c r="R181" s="39"/>
      <c r="S181" s="41">
        <f>SUM(Table8[[#This Row],[1]:[12]])</f>
        <v>13</v>
      </c>
      <c r="T181" s="41">
        <f t="shared" si="8"/>
        <v>1</v>
      </c>
      <c r="U181" s="9" t="s">
        <v>80</v>
      </c>
      <c r="V181" s="43" t="str">
        <f>IF(Table8[[#This Row],[Observed? Y or N]]="N", "-20", "0")</f>
        <v>-20</v>
      </c>
      <c r="W181" s="43">
        <f>Table8[[#This Row],[Total]]+Table8[[#This Row],[Penalty Applied]]</f>
        <v>-7</v>
      </c>
      <c r="X181" s="65"/>
    </row>
    <row r="182" spans="5:24" x14ac:dyDescent="0.3">
      <c r="E182" s="59" t="s">
        <v>153</v>
      </c>
      <c r="F182" s="39" t="s">
        <v>31</v>
      </c>
      <c r="G182" s="45"/>
      <c r="H182" s="40">
        <v>11</v>
      </c>
      <c r="I182" s="60"/>
      <c r="J182" s="60"/>
      <c r="K182" s="60"/>
      <c r="L182" s="60"/>
      <c r="M182" s="60"/>
      <c r="N182" s="53"/>
      <c r="O182" s="40"/>
      <c r="P182" s="40"/>
      <c r="Q182" s="40"/>
      <c r="R182" s="39"/>
      <c r="S182" s="41">
        <f>SUM(Table8[[#This Row],[1]:[12]])</f>
        <v>11</v>
      </c>
      <c r="T182" s="41">
        <f t="shared" si="8"/>
        <v>1</v>
      </c>
      <c r="U182" s="9" t="s">
        <v>80</v>
      </c>
      <c r="V182" s="43" t="str">
        <f>IF(Table8[[#This Row],[Observed? Y or N]]="N", "-20", "0")</f>
        <v>-20</v>
      </c>
      <c r="W182" s="43">
        <f>Table8[[#This Row],[Total]]+Table8[[#This Row],[Penalty Applied]]</f>
        <v>-9</v>
      </c>
      <c r="X182" s="65"/>
    </row>
    <row r="183" spans="5:24" x14ac:dyDescent="0.3">
      <c r="E183" s="59" t="s">
        <v>261</v>
      </c>
      <c r="F183" s="39" t="s">
        <v>123</v>
      </c>
      <c r="G183" s="45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39">
        <v>10</v>
      </c>
      <c r="S183" s="41">
        <f>SUM(Table8[[#This Row],[1]:[12]])</f>
        <v>10</v>
      </c>
      <c r="T183" s="41">
        <f t="shared" si="8"/>
        <v>1</v>
      </c>
      <c r="U183" s="9" t="s">
        <v>80</v>
      </c>
      <c r="V183" s="43" t="str">
        <f>IF(Table8[[#This Row],[Observed? Y or N]]="N", "-20", "0")</f>
        <v>-20</v>
      </c>
      <c r="W183" s="43">
        <f>Table8[[#This Row],[Total]]+Table8[[#This Row],[Penalty Applied]]</f>
        <v>-10</v>
      </c>
      <c r="X183" s="65"/>
    </row>
    <row r="184" spans="5:24" x14ac:dyDescent="0.3">
      <c r="E184" s="59" t="s">
        <v>257</v>
      </c>
      <c r="F184" s="39" t="s">
        <v>27</v>
      </c>
      <c r="G184" s="45"/>
      <c r="H184" s="40"/>
      <c r="I184" s="40"/>
      <c r="J184" s="40"/>
      <c r="K184" s="40"/>
      <c r="L184" s="40"/>
      <c r="M184" s="40"/>
      <c r="N184" s="40"/>
      <c r="O184" s="40"/>
      <c r="P184" s="40"/>
      <c r="Q184" s="40">
        <v>9</v>
      </c>
      <c r="R184" s="39"/>
      <c r="S184" s="41">
        <f>SUM(Table8[[#This Row],[1]:[12]])</f>
        <v>9</v>
      </c>
      <c r="T184" s="41">
        <f t="shared" si="8"/>
        <v>1</v>
      </c>
      <c r="U184" s="9" t="s">
        <v>80</v>
      </c>
      <c r="V184" s="43" t="str">
        <f>IF(Table8[[#This Row],[Observed? Y or N]]="N", "-20", "0")</f>
        <v>-20</v>
      </c>
      <c r="W184" s="43">
        <f>Table8[[#This Row],[Total]]+Table8[[#This Row],[Penalty Applied]]</f>
        <v>-11</v>
      </c>
      <c r="X184" s="65"/>
    </row>
    <row r="185" spans="5:24" x14ac:dyDescent="0.3">
      <c r="E185" s="59" t="s">
        <v>258</v>
      </c>
      <c r="F185" s="39" t="s">
        <v>42</v>
      </c>
      <c r="G185" s="45"/>
      <c r="H185" s="40"/>
      <c r="I185" s="40"/>
      <c r="J185" s="40"/>
      <c r="K185" s="40"/>
      <c r="L185" s="40"/>
      <c r="M185" s="40"/>
      <c r="N185" s="40"/>
      <c r="O185" s="40"/>
      <c r="P185" s="40"/>
      <c r="Q185" s="40">
        <v>7</v>
      </c>
      <c r="R185" s="39"/>
      <c r="S185" s="41">
        <f>SUM(Table8[[#This Row],[1]:[12]])</f>
        <v>7</v>
      </c>
      <c r="T185" s="41">
        <f t="shared" si="8"/>
        <v>1</v>
      </c>
      <c r="U185" s="9" t="s">
        <v>80</v>
      </c>
      <c r="V185" s="43" t="str">
        <f>IF(Table8[[#This Row],[Observed? Y or N]]="N", "-20", "0")</f>
        <v>-20</v>
      </c>
      <c r="W185" s="43">
        <f>Table8[[#This Row],[Total]]+Table8[[#This Row],[Penalty Applied]]</f>
        <v>-13</v>
      </c>
      <c r="X185" s="65"/>
    </row>
    <row r="186" spans="5:24" x14ac:dyDescent="0.3">
      <c r="E186" s="59" t="s">
        <v>259</v>
      </c>
      <c r="F186" s="39" t="s">
        <v>31</v>
      </c>
      <c r="G186" s="45"/>
      <c r="H186" s="40"/>
      <c r="I186" s="40"/>
      <c r="J186" s="40"/>
      <c r="K186" s="40"/>
      <c r="L186" s="40"/>
      <c r="M186" s="40"/>
      <c r="N186" s="40"/>
      <c r="O186" s="40"/>
      <c r="P186" s="40"/>
      <c r="Q186" s="40">
        <v>6</v>
      </c>
      <c r="R186" s="39"/>
      <c r="S186" s="41">
        <f>SUM(Table8[[#This Row],[1]:[12]])</f>
        <v>6</v>
      </c>
      <c r="T186" s="41">
        <f t="shared" si="8"/>
        <v>1</v>
      </c>
      <c r="U186" s="9" t="s">
        <v>80</v>
      </c>
      <c r="V186" s="43" t="str">
        <f>IF(Table8[[#This Row],[Observed? Y or N]]="N", "-20", "0")</f>
        <v>-20</v>
      </c>
      <c r="W186" s="43">
        <f>Table8[[#This Row],[Total]]+Table8[[#This Row],[Penalty Applied]]</f>
        <v>-14</v>
      </c>
      <c r="X186" s="65"/>
    </row>
    <row r="187" spans="5:24" x14ac:dyDescent="0.3">
      <c r="E187" s="59"/>
      <c r="F187" s="39"/>
      <c r="G187" s="45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39"/>
      <c r="S187" s="41">
        <f>SUM(Table8[[#This Row],[1]:[12]])</f>
        <v>0</v>
      </c>
      <c r="T187" s="41">
        <f t="shared" si="8"/>
        <v>0</v>
      </c>
      <c r="U187" s="9" t="s">
        <v>80</v>
      </c>
      <c r="V187" s="43" t="str">
        <f>IF(Table8[[#This Row],[Observed? Y or N]]="N", "-20", "0")</f>
        <v>-20</v>
      </c>
      <c r="W187" s="43">
        <f>Table8[[#This Row],[Total]]+Table8[[#This Row],[Penalty Applied]]</f>
        <v>-20</v>
      </c>
      <c r="X187" s="65"/>
    </row>
    <row r="189" spans="5:24" ht="15" thickBot="1" x14ac:dyDescent="0.35"/>
    <row r="190" spans="5:24" ht="153" thickBot="1" x14ac:dyDescent="0.35">
      <c r="E190" s="83" t="s">
        <v>47</v>
      </c>
      <c r="F190" s="83" t="s">
        <v>137</v>
      </c>
      <c r="G190" s="84" t="s">
        <v>88</v>
      </c>
      <c r="H190" s="84" t="s">
        <v>89</v>
      </c>
      <c r="I190" s="84" t="s">
        <v>90</v>
      </c>
      <c r="J190" s="84" t="s">
        <v>91</v>
      </c>
      <c r="K190" s="84" t="s">
        <v>92</v>
      </c>
      <c r="L190" s="84" t="s">
        <v>93</v>
      </c>
      <c r="M190" s="84" t="s">
        <v>94</v>
      </c>
      <c r="N190" s="84" t="s">
        <v>95</v>
      </c>
      <c r="O190" s="84" t="s">
        <v>96</v>
      </c>
      <c r="P190" s="84" t="s">
        <v>97</v>
      </c>
      <c r="Q190" s="84" t="s">
        <v>98</v>
      </c>
      <c r="R190" s="84" t="s">
        <v>99</v>
      </c>
      <c r="S190" s="7" t="s">
        <v>32</v>
      </c>
      <c r="T190" s="7" t="s">
        <v>43</v>
      </c>
      <c r="U190" s="82" t="s">
        <v>78</v>
      </c>
      <c r="V190" s="7" t="s">
        <v>81</v>
      </c>
      <c r="W190" s="32" t="s">
        <v>79</v>
      </c>
      <c r="X190" s="32" t="s">
        <v>15</v>
      </c>
    </row>
    <row r="191" spans="5:24" x14ac:dyDescent="0.3">
      <c r="E191" s="140" t="s">
        <v>182</v>
      </c>
      <c r="F191" s="131" t="s">
        <v>26</v>
      </c>
      <c r="G191" s="133"/>
      <c r="H191" s="133"/>
      <c r="I191" s="151"/>
      <c r="J191" s="151">
        <v>20</v>
      </c>
      <c r="K191" s="151"/>
      <c r="L191" s="151">
        <v>20</v>
      </c>
      <c r="M191" s="151"/>
      <c r="N191" s="60">
        <v>17</v>
      </c>
      <c r="O191" s="133"/>
      <c r="P191" s="133"/>
      <c r="Q191" s="133"/>
      <c r="R191" s="134"/>
      <c r="S191" s="135">
        <f>SUM(Table9[[#This Row],[1]:[12]])</f>
        <v>57</v>
      </c>
      <c r="T191" s="131">
        <f t="shared" ref="T191:T207" si="9">COUNTIF(G191:R191,"&gt;1")</f>
        <v>3</v>
      </c>
      <c r="U191" s="9" t="s">
        <v>189</v>
      </c>
      <c r="V191" s="117" t="str">
        <f>IF(Table9[[#This Row],[Observed? Y or N]]="N", "-20", "0")</f>
        <v>0</v>
      </c>
      <c r="W191" s="53">
        <f>Table9[[#This Row],[Total]]+Table9[[#This Row],[Penalty Applied]]</f>
        <v>57</v>
      </c>
      <c r="X191" s="72" t="s">
        <v>0</v>
      </c>
    </row>
    <row r="192" spans="5:24" x14ac:dyDescent="0.3">
      <c r="E192" s="121" t="s">
        <v>233</v>
      </c>
      <c r="F192" s="122" t="s">
        <v>30</v>
      </c>
      <c r="G192" s="123"/>
      <c r="H192" s="123"/>
      <c r="I192" s="123"/>
      <c r="J192" s="123"/>
      <c r="K192" s="123"/>
      <c r="L192" s="123"/>
      <c r="M192" s="123"/>
      <c r="N192" s="123">
        <v>20</v>
      </c>
      <c r="O192" s="123">
        <v>20</v>
      </c>
      <c r="P192" s="123"/>
      <c r="Q192" s="123"/>
      <c r="R192" s="124"/>
      <c r="S192" s="125">
        <f>SUM(Table9[[#This Row],[1]:[12]])</f>
        <v>40</v>
      </c>
      <c r="T192" s="122">
        <f t="shared" si="9"/>
        <v>2</v>
      </c>
      <c r="U192" s="9" t="s">
        <v>189</v>
      </c>
      <c r="V192" s="52" t="str">
        <f>IF(Table9[[#This Row],[Observed? Y or N]]="N", "-20", "0")</f>
        <v>0</v>
      </c>
      <c r="W192" s="53">
        <f>Table9[[#This Row],[Total]]+Table9[[#This Row],[Penalty Applied]]</f>
        <v>40</v>
      </c>
      <c r="X192" s="65" t="s">
        <v>1</v>
      </c>
    </row>
    <row r="193" spans="5:24" x14ac:dyDescent="0.3">
      <c r="E193" s="67" t="s">
        <v>157</v>
      </c>
      <c r="F193" s="41" t="s">
        <v>27</v>
      </c>
      <c r="G193" s="68"/>
      <c r="H193" s="68">
        <v>20</v>
      </c>
      <c r="I193" s="81"/>
      <c r="J193" s="81"/>
      <c r="K193" s="81"/>
      <c r="L193" s="81"/>
      <c r="M193" s="81"/>
      <c r="N193" s="60"/>
      <c r="O193" s="68"/>
      <c r="P193" s="68"/>
      <c r="Q193" s="68"/>
      <c r="R193" s="39">
        <v>20</v>
      </c>
      <c r="S193" s="45">
        <f>SUM(Table9[[#This Row],[1]:[12]])</f>
        <v>40</v>
      </c>
      <c r="T193" s="41">
        <f t="shared" si="9"/>
        <v>2</v>
      </c>
      <c r="U193" s="9" t="s">
        <v>80</v>
      </c>
      <c r="V193" s="49" t="str">
        <f>IF(Table9[[#This Row],[Observed? Y or N]]="N", "-20", "0")</f>
        <v>-20</v>
      </c>
      <c r="W193" s="38">
        <f>Table9[[#This Row],[Total]]+Table9[[#This Row],[Penalty Applied]]</f>
        <v>20</v>
      </c>
      <c r="X193" s="65" t="s">
        <v>2</v>
      </c>
    </row>
    <row r="194" spans="5:24" x14ac:dyDescent="0.3">
      <c r="E194" s="121" t="s">
        <v>219</v>
      </c>
      <c r="F194" s="122" t="s">
        <v>42</v>
      </c>
      <c r="G194" s="123"/>
      <c r="H194" s="123"/>
      <c r="I194" s="152"/>
      <c r="J194" s="152"/>
      <c r="K194" s="152"/>
      <c r="L194" s="152"/>
      <c r="M194" s="152">
        <v>20</v>
      </c>
      <c r="N194" s="130"/>
      <c r="O194" s="123"/>
      <c r="P194" s="123"/>
      <c r="Q194" s="123"/>
      <c r="R194" s="124"/>
      <c r="S194" s="125">
        <f>SUM(Table9[[#This Row],[1]:[12]])</f>
        <v>20</v>
      </c>
      <c r="T194" s="122">
        <f t="shared" si="9"/>
        <v>1</v>
      </c>
      <c r="U194" s="9" t="s">
        <v>189</v>
      </c>
      <c r="V194" s="52" t="str">
        <f>IF(Table9[[#This Row],[Observed? Y or N]]="N", "-20", "0")</f>
        <v>0</v>
      </c>
      <c r="W194" s="53">
        <f>Table9[[#This Row],[Total]]+Table9[[#This Row],[Penalty Applied]]</f>
        <v>20</v>
      </c>
      <c r="X194" s="65"/>
    </row>
    <row r="195" spans="5:24" x14ac:dyDescent="0.3">
      <c r="E195" s="121" t="s">
        <v>267</v>
      </c>
      <c r="F195" s="122" t="s">
        <v>31</v>
      </c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>
        <v>17</v>
      </c>
      <c r="R195" s="124"/>
      <c r="S195" s="125">
        <f>SUM(Table9[[#This Row],[1]:[12]])</f>
        <v>17</v>
      </c>
      <c r="T195" s="122">
        <f t="shared" si="9"/>
        <v>1</v>
      </c>
      <c r="U195" s="9" t="s">
        <v>189</v>
      </c>
      <c r="V195" s="52" t="str">
        <f>IF(Table9[[#This Row],[Observed? Y or N]]="N", "-20", "0")</f>
        <v>0</v>
      </c>
      <c r="W195" s="53">
        <f>Table9[[#This Row],[Total]]+Table9[[#This Row],[Penalty Applied]]</f>
        <v>17</v>
      </c>
      <c r="X195" s="65"/>
    </row>
    <row r="196" spans="5:24" x14ac:dyDescent="0.3">
      <c r="E196" s="121" t="s">
        <v>269</v>
      </c>
      <c r="F196" s="122" t="s">
        <v>30</v>
      </c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>
        <v>13</v>
      </c>
      <c r="R196" s="124"/>
      <c r="S196" s="45">
        <f>SUM(Table9[[#This Row],[1]:[12]])</f>
        <v>13</v>
      </c>
      <c r="T196" s="41">
        <f t="shared" si="9"/>
        <v>1</v>
      </c>
      <c r="U196" s="9" t="s">
        <v>189</v>
      </c>
      <c r="V196" s="52" t="str">
        <f>IF(Table9[[#This Row],[Observed? Y or N]]="N", "-20", "0")</f>
        <v>0</v>
      </c>
      <c r="W196" s="53">
        <f>Table9[[#This Row],[Total]]+Table9[[#This Row],[Penalty Applied]]</f>
        <v>13</v>
      </c>
      <c r="X196" s="65"/>
    </row>
    <row r="197" spans="5:24" x14ac:dyDescent="0.3">
      <c r="E197" s="67" t="s">
        <v>266</v>
      </c>
      <c r="F197" s="41" t="s">
        <v>27</v>
      </c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>
        <v>20</v>
      </c>
      <c r="R197" s="39"/>
      <c r="S197" s="45">
        <f>SUM(Table9[[#This Row],[1]:[12]])</f>
        <v>20</v>
      </c>
      <c r="T197" s="41">
        <f t="shared" si="9"/>
        <v>1</v>
      </c>
      <c r="U197" s="9" t="s">
        <v>80</v>
      </c>
      <c r="V197" s="49" t="str">
        <f>IF(Table9[[#This Row],[Observed? Y or N]]="N", "-20", "0")</f>
        <v>-20</v>
      </c>
      <c r="W197" s="38">
        <f>Table9[[#This Row],[Total]]+Table9[[#This Row],[Penalty Applied]]</f>
        <v>0</v>
      </c>
      <c r="X197" s="65"/>
    </row>
    <row r="198" spans="5:24" x14ac:dyDescent="0.3">
      <c r="E198" s="67" t="s">
        <v>158</v>
      </c>
      <c r="F198" s="41" t="s">
        <v>31</v>
      </c>
      <c r="G198" s="68"/>
      <c r="H198" s="68">
        <v>17</v>
      </c>
      <c r="I198" s="81"/>
      <c r="J198" s="81"/>
      <c r="K198" s="81"/>
      <c r="L198" s="81"/>
      <c r="M198" s="81"/>
      <c r="N198" s="60"/>
      <c r="O198" s="68"/>
      <c r="P198" s="68"/>
      <c r="Q198" s="68"/>
      <c r="R198" s="39"/>
      <c r="S198" s="45">
        <f>SUM(Table9[[#This Row],[1]:[12]])</f>
        <v>17</v>
      </c>
      <c r="T198" s="41">
        <f t="shared" si="9"/>
        <v>1</v>
      </c>
      <c r="U198" s="9" t="s">
        <v>80</v>
      </c>
      <c r="V198" s="49" t="str">
        <f>IF(Table9[[#This Row],[Observed? Y or N]]="N", "-20", "0")</f>
        <v>-20</v>
      </c>
      <c r="W198" s="38">
        <f>Table9[[#This Row],[Total]]+Table9[[#This Row],[Penalty Applied]]</f>
        <v>-3</v>
      </c>
      <c r="X198" s="3"/>
    </row>
    <row r="199" spans="5:24" x14ac:dyDescent="0.3">
      <c r="E199" s="67" t="s">
        <v>183</v>
      </c>
      <c r="F199" s="67" t="s">
        <v>42</v>
      </c>
      <c r="G199" s="81"/>
      <c r="H199" s="81"/>
      <c r="I199" s="81"/>
      <c r="J199" s="81">
        <v>17</v>
      </c>
      <c r="K199" s="81"/>
      <c r="L199" s="81"/>
      <c r="M199" s="81"/>
      <c r="N199" s="60"/>
      <c r="O199" s="81"/>
      <c r="P199" s="81"/>
      <c r="Q199" s="81"/>
      <c r="R199" s="59"/>
      <c r="S199" s="61">
        <f>SUM(G199:R199)</f>
        <v>17</v>
      </c>
      <c r="T199" s="58">
        <f t="shared" si="9"/>
        <v>1</v>
      </c>
      <c r="U199" s="9" t="s">
        <v>80</v>
      </c>
      <c r="V199" s="79" t="str">
        <f>IF(Table9[[#This Row],[Observed? Y or N]]="N", "-20", "0")</f>
        <v>-20</v>
      </c>
      <c r="W199" s="78">
        <f>Table9[[#This Row],[Total]]+Table9[[#This Row],[Penalty Applied]]</f>
        <v>-3</v>
      </c>
      <c r="X199" s="65"/>
    </row>
    <row r="200" spans="5:24" x14ac:dyDescent="0.3">
      <c r="E200" s="67" t="s">
        <v>118</v>
      </c>
      <c r="F200" s="41" t="s">
        <v>26</v>
      </c>
      <c r="G200" s="68"/>
      <c r="H200" s="68">
        <v>15</v>
      </c>
      <c r="I200" s="81"/>
      <c r="J200" s="81"/>
      <c r="K200" s="81"/>
      <c r="L200" s="81"/>
      <c r="M200" s="81"/>
      <c r="N200" s="60"/>
      <c r="O200" s="68"/>
      <c r="P200" s="68"/>
      <c r="Q200" s="68"/>
      <c r="R200" s="39"/>
      <c r="S200" s="45">
        <f>SUM(Table9[[#This Row],[1]:[12]])</f>
        <v>15</v>
      </c>
      <c r="T200" s="41">
        <f t="shared" si="9"/>
        <v>1</v>
      </c>
      <c r="U200" s="9" t="s">
        <v>80</v>
      </c>
      <c r="V200" s="49" t="str">
        <f>IF(Table9[[#This Row],[Observed? Y or N]]="N", "-20", "0")</f>
        <v>-20</v>
      </c>
      <c r="W200" s="38">
        <f>Table9[[#This Row],[Total]]+Table9[[#This Row],[Penalty Applied]]</f>
        <v>-5</v>
      </c>
      <c r="X200" s="3"/>
    </row>
    <row r="201" spans="5:24" x14ac:dyDescent="0.3">
      <c r="E201" s="67" t="s">
        <v>268</v>
      </c>
      <c r="F201" s="67" t="s">
        <v>26</v>
      </c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>
        <v>15</v>
      </c>
      <c r="R201" s="59"/>
      <c r="S201" s="61">
        <f>SUM(G201:R201)</f>
        <v>15</v>
      </c>
      <c r="T201" s="58">
        <f t="shared" si="9"/>
        <v>1</v>
      </c>
      <c r="U201" s="62" t="s">
        <v>80</v>
      </c>
      <c r="V201" s="79" t="str">
        <f>IF(Table9[[#This Row],[Observed? Y or N]]="N", "-20", "0")</f>
        <v>-20</v>
      </c>
      <c r="W201" s="78">
        <f>Table9[[#This Row],[Total]]+Table9[[#This Row],[Penalty Applied]]</f>
        <v>-5</v>
      </c>
      <c r="X201" s="65"/>
    </row>
    <row r="202" spans="5:24" x14ac:dyDescent="0.3">
      <c r="E202" s="67" t="s">
        <v>271</v>
      </c>
      <c r="F202" s="41" t="s">
        <v>26</v>
      </c>
      <c r="G202" s="68"/>
      <c r="H202" s="68"/>
      <c r="I202" s="68"/>
      <c r="J202" s="68"/>
      <c r="K202" s="68"/>
      <c r="L202" s="68"/>
      <c r="M202" s="68"/>
      <c r="N202" s="68">
        <v>15</v>
      </c>
      <c r="O202" s="68"/>
      <c r="P202" s="68"/>
      <c r="Q202" s="68"/>
      <c r="R202" s="39"/>
      <c r="S202" s="45">
        <f>SUM(Table9[[#This Row],[1]:[12]])</f>
        <v>15</v>
      </c>
      <c r="T202" s="41">
        <f t="shared" si="9"/>
        <v>1</v>
      </c>
      <c r="U202" s="9" t="s">
        <v>80</v>
      </c>
      <c r="V202" s="49" t="str">
        <f>IF(Table9[[#This Row],[Observed? Y or N]]="N", "-20", "0")</f>
        <v>-20</v>
      </c>
      <c r="W202" s="38">
        <f>Table9[[#This Row],[Total]]+Table9[[#This Row],[Penalty Applied]]</f>
        <v>-5</v>
      </c>
      <c r="X202" s="65"/>
    </row>
    <row r="203" spans="5:24" x14ac:dyDescent="0.3">
      <c r="E203" s="67" t="s">
        <v>270</v>
      </c>
      <c r="F203" s="67" t="s">
        <v>31</v>
      </c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>
        <v>11</v>
      </c>
      <c r="R203" s="59"/>
      <c r="S203" s="61">
        <f>SUM(G203:R203)</f>
        <v>11</v>
      </c>
      <c r="T203" s="58">
        <f t="shared" si="9"/>
        <v>1</v>
      </c>
      <c r="U203" s="62" t="s">
        <v>80</v>
      </c>
      <c r="V203" s="79" t="str">
        <f>IF(Table9[[#This Row],[Observed? Y or N]]="N", "-20", "0")</f>
        <v>-20</v>
      </c>
      <c r="W203" s="78">
        <f>Table9[[#This Row],[Total]]+Table9[[#This Row],[Penalty Applied]]</f>
        <v>-9</v>
      </c>
      <c r="X203" s="65"/>
    </row>
    <row r="204" spans="5:24" x14ac:dyDescent="0.3">
      <c r="E204" s="67" t="s">
        <v>177</v>
      </c>
      <c r="F204" s="41" t="s">
        <v>28</v>
      </c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>
        <v>10</v>
      </c>
      <c r="R204" s="39"/>
      <c r="S204" s="45">
        <f>SUM(Table9[[#This Row],[1]:[12]])</f>
        <v>10</v>
      </c>
      <c r="T204" s="41">
        <f t="shared" si="9"/>
        <v>1</v>
      </c>
      <c r="U204" s="9" t="s">
        <v>80</v>
      </c>
      <c r="V204" s="49" t="str">
        <f>IF(Table9[[#This Row],[Observed? Y or N]]="N", "-20", "0")</f>
        <v>-20</v>
      </c>
      <c r="W204" s="38">
        <f>Table9[[#This Row],[Total]]+Table9[[#This Row],[Penalty Applied]]</f>
        <v>-10</v>
      </c>
      <c r="X204" s="65"/>
    </row>
    <row r="205" spans="5:24" x14ac:dyDescent="0.3">
      <c r="E205" s="67"/>
      <c r="F205" s="41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39"/>
      <c r="S205" s="45">
        <f>SUM(Table9[[#This Row],[1]:[12]])</f>
        <v>0</v>
      </c>
      <c r="T205" s="41">
        <f t="shared" si="9"/>
        <v>0</v>
      </c>
      <c r="U205" s="9" t="s">
        <v>80</v>
      </c>
      <c r="V205" s="49" t="str">
        <f>IF(Table9[[#This Row],[Observed? Y or N]]="N", "-20", "0")</f>
        <v>-20</v>
      </c>
      <c r="W205" s="38">
        <f>Table9[[#This Row],[Total]]+Table9[[#This Row],[Penalty Applied]]</f>
        <v>-20</v>
      </c>
      <c r="X205" s="65"/>
    </row>
    <row r="206" spans="5:24" x14ac:dyDescent="0.3">
      <c r="E206" s="67"/>
      <c r="F206" s="41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39"/>
      <c r="S206" s="45">
        <f>SUM(Table9[[#This Row],[1]:[12]])</f>
        <v>0</v>
      </c>
      <c r="T206" s="41">
        <f t="shared" si="9"/>
        <v>0</v>
      </c>
      <c r="U206" s="9" t="s">
        <v>80</v>
      </c>
      <c r="V206" s="49" t="str">
        <f>IF(Table9[[#This Row],[Observed? Y or N]]="N", "-20", "0")</f>
        <v>-20</v>
      </c>
      <c r="W206" s="38">
        <f>Table9[[#This Row],[Total]]+Table9[[#This Row],[Penalty Applied]]</f>
        <v>-20</v>
      </c>
      <c r="X206" s="65"/>
    </row>
    <row r="207" spans="5:24" ht="15" thickBot="1" x14ac:dyDescent="0.35">
      <c r="E207" s="66"/>
      <c r="F207" s="46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8"/>
      <c r="S207" s="92">
        <f>SUM(Table9[[#This Row],[1]:[12]])</f>
        <v>0</v>
      </c>
      <c r="T207" s="46">
        <f t="shared" si="9"/>
        <v>0</v>
      </c>
      <c r="U207" s="9" t="s">
        <v>80</v>
      </c>
      <c r="V207" s="49" t="str">
        <f>IF(Table9[[#This Row],[Observed? Y or N]]="N", "-20", "0")</f>
        <v>-20</v>
      </c>
      <c r="W207" s="38">
        <f>Table9[[#This Row],[Total]]+Table9[[#This Row],[Penalty Applied]]</f>
        <v>-20</v>
      </c>
      <c r="X207" s="86"/>
    </row>
    <row r="208" spans="5:24" x14ac:dyDescent="0.3"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</row>
    <row r="209" spans="5:22" x14ac:dyDescent="0.3"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</row>
    <row r="210" spans="5:22" ht="15" thickBot="1" x14ac:dyDescent="0.35"/>
    <row r="211" spans="5:22" ht="153" thickBot="1" x14ac:dyDescent="0.35">
      <c r="E211" s="36" t="s">
        <v>39</v>
      </c>
      <c r="F211" s="36" t="s">
        <v>137</v>
      </c>
      <c r="G211" s="37" t="s">
        <v>88</v>
      </c>
      <c r="H211" s="37" t="s">
        <v>89</v>
      </c>
      <c r="I211" s="37" t="s">
        <v>90</v>
      </c>
      <c r="J211" s="37" t="s">
        <v>91</v>
      </c>
      <c r="K211" s="37" t="s">
        <v>92</v>
      </c>
      <c r="L211" s="37" t="s">
        <v>93</v>
      </c>
      <c r="M211" s="37" t="s">
        <v>94</v>
      </c>
      <c r="N211" s="37" t="s">
        <v>95</v>
      </c>
      <c r="O211" s="37" t="s">
        <v>96</v>
      </c>
      <c r="P211" s="37" t="s">
        <v>97</v>
      </c>
      <c r="Q211" s="37" t="s">
        <v>98</v>
      </c>
      <c r="R211" s="37" t="s">
        <v>99</v>
      </c>
      <c r="S211" s="7" t="s">
        <v>32</v>
      </c>
      <c r="T211" s="7" t="s">
        <v>43</v>
      </c>
      <c r="U211" s="32" t="s">
        <v>79</v>
      </c>
      <c r="V211" s="32" t="s">
        <v>15</v>
      </c>
    </row>
    <row r="212" spans="5:22" x14ac:dyDescent="0.3">
      <c r="E212" s="65" t="s">
        <v>159</v>
      </c>
      <c r="F212" s="9" t="s">
        <v>160</v>
      </c>
      <c r="G212" s="10">
        <v>20</v>
      </c>
      <c r="H212">
        <v>20</v>
      </c>
      <c r="I212" s="53">
        <v>17</v>
      </c>
      <c r="J212" s="53"/>
      <c r="K212" s="53"/>
      <c r="L212" s="53"/>
      <c r="M212" s="53"/>
      <c r="N212" s="53">
        <v>20</v>
      </c>
      <c r="O212" s="53">
        <v>20</v>
      </c>
      <c r="R212" s="9">
        <v>20</v>
      </c>
      <c r="S212" s="2">
        <f>SUM(Table10[[#This Row],[1]:[12]])</f>
        <v>117</v>
      </c>
      <c r="T212" s="2">
        <f>COUNTIF(G212:R212,"&gt;1")</f>
        <v>6</v>
      </c>
      <c r="U212">
        <f>Table10[[#This Row],[Total]]</f>
        <v>117</v>
      </c>
      <c r="V212" s="2" t="s">
        <v>0</v>
      </c>
    </row>
    <row r="213" spans="5:22" x14ac:dyDescent="0.3">
      <c r="E213" s="65" t="s">
        <v>111</v>
      </c>
      <c r="F213" s="9" t="s">
        <v>160</v>
      </c>
      <c r="G213" s="10"/>
      <c r="I213" s="53">
        <v>20</v>
      </c>
      <c r="J213" s="53">
        <v>20</v>
      </c>
      <c r="K213" s="53"/>
      <c r="L213" s="53"/>
      <c r="M213" s="53">
        <v>20</v>
      </c>
      <c r="N213" s="53"/>
      <c r="O213" s="53"/>
      <c r="R213" s="9"/>
      <c r="S213" s="3">
        <f>SUM(Table10[[#This Row],[1]:[12]])</f>
        <v>60</v>
      </c>
      <c r="T213" s="3">
        <f>COUNTIF(G213:R213,"&gt;1")</f>
        <v>3</v>
      </c>
      <c r="U213">
        <f>Table10[[#This Row],[Total]]</f>
        <v>60</v>
      </c>
      <c r="V213" s="3" t="s">
        <v>1</v>
      </c>
    </row>
    <row r="214" spans="5:22" x14ac:dyDescent="0.3">
      <c r="E214" s="65" t="s">
        <v>205</v>
      </c>
      <c r="F214" s="9" t="s">
        <v>160</v>
      </c>
      <c r="G214" s="10"/>
      <c r="I214" s="53"/>
      <c r="J214" s="53"/>
      <c r="K214" s="53"/>
      <c r="L214" s="53"/>
      <c r="M214" s="53"/>
      <c r="N214" s="53"/>
      <c r="O214" s="53"/>
      <c r="Q214">
        <v>20</v>
      </c>
      <c r="R214" s="9">
        <v>17</v>
      </c>
      <c r="S214" s="3">
        <f>SUM(Table10[[#This Row],[1]:[12]])</f>
        <v>37</v>
      </c>
      <c r="T214" s="3">
        <f>COUNTIF(G214:R214,"&gt;1")</f>
        <v>2</v>
      </c>
      <c r="U214">
        <f>Table10[[#This Row],[Total]]</f>
        <v>37</v>
      </c>
      <c r="V214" s="3" t="s">
        <v>2</v>
      </c>
    </row>
    <row r="215" spans="5:22" x14ac:dyDescent="0.3">
      <c r="E215" s="65" t="s">
        <v>264</v>
      </c>
      <c r="F215" s="9" t="s">
        <v>160</v>
      </c>
      <c r="G215" s="75"/>
      <c r="H215" s="53"/>
      <c r="I215" s="53"/>
      <c r="J215" s="53"/>
      <c r="K215" s="53"/>
      <c r="L215" s="53"/>
      <c r="M215" s="53"/>
      <c r="N215" s="53"/>
      <c r="O215" s="53"/>
      <c r="P215" s="53"/>
      <c r="Q215" s="53">
        <v>17</v>
      </c>
      <c r="R215" s="52"/>
      <c r="S215" s="51">
        <f>SUM(Table10[[#This Row],[1]:[12]])</f>
        <v>17</v>
      </c>
      <c r="T215" s="51">
        <f>COUNTIF(G215:R215,"&gt;1")</f>
        <v>1</v>
      </c>
      <c r="U215" s="64">
        <f>Table10[[#This Row],[Total]]</f>
        <v>17</v>
      </c>
      <c r="V215" s="65"/>
    </row>
    <row r="216" spans="5:22" ht="15" thickBot="1" x14ac:dyDescent="0.35">
      <c r="E216" s="65"/>
      <c r="F216" s="9"/>
      <c r="G216" s="10"/>
      <c r="R216" s="9"/>
      <c r="S216" s="3">
        <f>SUM(Table10[[#This Row],[1]:[12]])</f>
        <v>0</v>
      </c>
      <c r="T216" s="3">
        <f>COUNTIF(G216:R216,"&gt;1")</f>
        <v>0</v>
      </c>
      <c r="U216">
        <f>Table10[[#This Row],[Total]]</f>
        <v>0</v>
      </c>
      <c r="V216" s="4"/>
    </row>
    <row r="217" spans="5:22" ht="15" thickBot="1" x14ac:dyDescent="0.35"/>
    <row r="218" spans="5:22" ht="153" thickBot="1" x14ac:dyDescent="0.35">
      <c r="E218" s="98" t="s">
        <v>51</v>
      </c>
      <c r="F218" s="98" t="s">
        <v>137</v>
      </c>
      <c r="G218" s="99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98"/>
      <c r="S218" s="101" t="s">
        <v>32</v>
      </c>
      <c r="T218" s="101" t="s">
        <v>43</v>
      </c>
      <c r="U218" s="97" t="s">
        <v>79</v>
      </c>
      <c r="V218" s="97" t="s">
        <v>15</v>
      </c>
    </row>
    <row r="219" spans="5:22" x14ac:dyDescent="0.3">
      <c r="E219" s="72"/>
      <c r="F219" s="12"/>
      <c r="G219" s="13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2"/>
      <c r="S219" s="2">
        <f>SUM(Table103[[#This Row],[Column2]:[Column13]])</f>
        <v>0</v>
      </c>
      <c r="T219" s="2">
        <f t="shared" ref="T219:T222" si="10">COUNTIF(G219:R219,"&gt;1")</f>
        <v>0</v>
      </c>
      <c r="U219" s="102">
        <f>Table103[[#This Row],[Column14]]</f>
        <v>0</v>
      </c>
      <c r="V219" s="2"/>
    </row>
    <row r="220" spans="5:22" x14ac:dyDescent="0.3">
      <c r="E220" s="65"/>
      <c r="F220" s="9"/>
      <c r="G220" s="1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9"/>
      <c r="S220" s="3">
        <f>SUM(Table103[[#This Row],[Column2]:[Column13]])</f>
        <v>0</v>
      </c>
      <c r="T220" s="3">
        <f t="shared" si="10"/>
        <v>0</v>
      </c>
      <c r="U220" s="50"/>
      <c r="V220" s="3"/>
    </row>
    <row r="221" spans="5:22" x14ac:dyDescent="0.3">
      <c r="E221" s="65"/>
      <c r="F221" s="9"/>
      <c r="G221" s="1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9"/>
      <c r="S221" s="3">
        <f>SUM(Table103[[#This Row],[Column2]:[Column13]])</f>
        <v>0</v>
      </c>
      <c r="T221" s="3">
        <f t="shared" si="10"/>
        <v>0</v>
      </c>
      <c r="U221" s="50"/>
      <c r="V221" s="3"/>
    </row>
    <row r="222" spans="5:22" ht="15" thickBot="1" x14ac:dyDescent="0.35">
      <c r="E222" s="86"/>
      <c r="F222" s="11"/>
      <c r="G222" s="8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11"/>
      <c r="S222" s="4">
        <f>SUM(Table103[[#This Row],[Column2]:[Column13]])</f>
        <v>0</v>
      </c>
      <c r="T222" s="4">
        <f t="shared" si="10"/>
        <v>0</v>
      </c>
      <c r="U222" s="5"/>
      <c r="V222" s="4"/>
    </row>
    <row r="224" spans="5:22" ht="15" thickBot="1" x14ac:dyDescent="0.35"/>
    <row r="225" spans="5:22" ht="153" thickBot="1" x14ac:dyDescent="0.35">
      <c r="E225" s="36" t="s">
        <v>46</v>
      </c>
      <c r="F225" s="36" t="s">
        <v>137</v>
      </c>
      <c r="G225" s="35" t="s">
        <v>88</v>
      </c>
      <c r="H225" s="35" t="s">
        <v>89</v>
      </c>
      <c r="I225" s="35" t="s">
        <v>90</v>
      </c>
      <c r="J225" s="35" t="s">
        <v>91</v>
      </c>
      <c r="K225" s="35" t="s">
        <v>92</v>
      </c>
      <c r="L225" s="35" t="s">
        <v>93</v>
      </c>
      <c r="M225" s="35" t="s">
        <v>94</v>
      </c>
      <c r="N225" s="35" t="s">
        <v>95</v>
      </c>
      <c r="O225" s="35" t="s">
        <v>96</v>
      </c>
      <c r="P225" s="35" t="s">
        <v>97</v>
      </c>
      <c r="Q225" s="35" t="s">
        <v>98</v>
      </c>
      <c r="R225" s="35" t="s">
        <v>99</v>
      </c>
      <c r="S225" s="7" t="s">
        <v>32</v>
      </c>
      <c r="T225" s="7" t="s">
        <v>43</v>
      </c>
      <c r="U225" s="32" t="s">
        <v>79</v>
      </c>
      <c r="V225" s="32" t="s">
        <v>15</v>
      </c>
    </row>
    <row r="226" spans="5:22" x14ac:dyDescent="0.3">
      <c r="E226" s="103" t="s">
        <v>185</v>
      </c>
      <c r="F226" s="9" t="s">
        <v>160</v>
      </c>
      <c r="Q226">
        <v>20</v>
      </c>
      <c r="S226" s="13">
        <f>SUM(Table11[[#This Row],[1]:[12]])</f>
        <v>20</v>
      </c>
      <c r="T226" s="2">
        <f>COUNTIF(G226:R226,"&gt;1")</f>
        <v>1</v>
      </c>
      <c r="U226">
        <f>Table11[[#This Row],[Total]]</f>
        <v>20</v>
      </c>
      <c r="V226" s="2"/>
    </row>
    <row r="227" spans="5:22" x14ac:dyDescent="0.3">
      <c r="E227" s="103"/>
      <c r="F227" s="9"/>
      <c r="S227" s="10"/>
      <c r="T227" s="3">
        <f>COUNTIF(G227:R227,"&gt;1")</f>
        <v>0</v>
      </c>
      <c r="U227">
        <f>Table11[[#This Row],[Total]]</f>
        <v>0</v>
      </c>
      <c r="V227" s="3"/>
    </row>
    <row r="228" spans="5:22" x14ac:dyDescent="0.3">
      <c r="E228" s="103"/>
      <c r="F228" s="9"/>
      <c r="S228" s="10"/>
      <c r="T228" s="3">
        <f>COUNTIF(G228:R228,"&gt;1")</f>
        <v>0</v>
      </c>
      <c r="U228">
        <f>Table11[[#This Row],[Total]]</f>
        <v>0</v>
      </c>
      <c r="V228" s="3"/>
    </row>
    <row r="229" spans="5:22" ht="15" thickBot="1" x14ac:dyDescent="0.35">
      <c r="E229" s="103"/>
      <c r="F229" s="9"/>
      <c r="S229" s="10"/>
      <c r="T229" s="3">
        <f>COUNTIF(G229:R229,"&gt;1")</f>
        <v>0</v>
      </c>
      <c r="U229">
        <f>Table11[[#This Row],[Total]]</f>
        <v>0</v>
      </c>
      <c r="V229" s="4"/>
    </row>
    <row r="231" spans="5:22" ht="15" thickBot="1" x14ac:dyDescent="0.35">
      <c r="N231" s="53"/>
    </row>
    <row r="232" spans="5:22" ht="15" thickBot="1" x14ac:dyDescent="0.35">
      <c r="E232" s="96" t="s">
        <v>50</v>
      </c>
      <c r="F232" s="94" t="s">
        <v>137</v>
      </c>
      <c r="G232" s="95" t="s">
        <v>88</v>
      </c>
      <c r="H232" s="95" t="s">
        <v>89</v>
      </c>
      <c r="I232" s="95" t="s">
        <v>90</v>
      </c>
      <c r="J232" s="95" t="s">
        <v>91</v>
      </c>
      <c r="K232" s="95" t="s">
        <v>92</v>
      </c>
      <c r="L232" s="95" t="s">
        <v>93</v>
      </c>
      <c r="M232" s="95" t="s">
        <v>94</v>
      </c>
      <c r="N232" s="95" t="s">
        <v>95</v>
      </c>
      <c r="O232" s="95" t="s">
        <v>96</v>
      </c>
      <c r="P232" s="95" t="s">
        <v>97</v>
      </c>
      <c r="Q232" s="95" t="s">
        <v>98</v>
      </c>
      <c r="R232" s="95" t="s">
        <v>99</v>
      </c>
      <c r="S232" s="96"/>
      <c r="T232" s="104"/>
      <c r="U232" s="104"/>
      <c r="V232" s="104"/>
    </row>
    <row r="233" spans="5:22" ht="15" thickBot="1" x14ac:dyDescent="0.35">
      <c r="E233" s="77"/>
      <c r="F233" s="136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8">
        <f>SUM(G233:R233)</f>
        <v>0</v>
      </c>
      <c r="T233" s="139">
        <f>COUNTIF(G233:R233,"&gt;1")</f>
        <v>0</v>
      </c>
      <c r="U233" s="139"/>
      <c r="V233" s="139"/>
    </row>
    <row r="234" spans="5:22" ht="15" thickBot="1" x14ac:dyDescent="0.35">
      <c r="E234" s="4" t="s">
        <v>185</v>
      </c>
      <c r="F234" s="9" t="s">
        <v>160</v>
      </c>
      <c r="J234">
        <v>20</v>
      </c>
      <c r="K234" s="116"/>
      <c r="S234" s="4">
        <f>SUM(G234:R234)</f>
        <v>20</v>
      </c>
      <c r="T234" s="12">
        <f>COUNTIF(G234:R234,"&gt;1")</f>
        <v>1</v>
      </c>
      <c r="U234" s="12"/>
      <c r="V234" s="2"/>
    </row>
    <row r="236" spans="5:22" ht="15" thickBot="1" x14ac:dyDescent="0.35"/>
    <row r="237" spans="5:22" ht="153" thickBot="1" x14ac:dyDescent="0.35">
      <c r="E237" s="105" t="s">
        <v>40</v>
      </c>
      <c r="F237" s="105" t="s">
        <v>137</v>
      </c>
      <c r="G237" s="13" t="s">
        <v>88</v>
      </c>
      <c r="H237" s="13" t="s">
        <v>89</v>
      </c>
      <c r="I237" s="13" t="s">
        <v>90</v>
      </c>
      <c r="J237" s="13" t="s">
        <v>91</v>
      </c>
      <c r="K237" s="13" t="s">
        <v>92</v>
      </c>
      <c r="L237" s="13" t="s">
        <v>93</v>
      </c>
      <c r="M237" s="13" t="s">
        <v>94</v>
      </c>
      <c r="N237" s="13" t="s">
        <v>95</v>
      </c>
      <c r="O237" s="13" t="s">
        <v>96</v>
      </c>
      <c r="P237" s="13" t="s">
        <v>97</v>
      </c>
      <c r="Q237" s="13" t="s">
        <v>98</v>
      </c>
      <c r="R237" s="13" t="s">
        <v>99</v>
      </c>
      <c r="S237" s="106" t="s">
        <v>32</v>
      </c>
      <c r="T237" s="106" t="s">
        <v>43</v>
      </c>
      <c r="U237" s="32" t="s">
        <v>79</v>
      </c>
      <c r="V237" s="32" t="s">
        <v>15</v>
      </c>
    </row>
    <row r="238" spans="5:22" x14ac:dyDescent="0.3">
      <c r="E238" s="2" t="s">
        <v>131</v>
      </c>
      <c r="F238" s="12" t="s">
        <v>30</v>
      </c>
      <c r="G238" s="13"/>
      <c r="H238" s="102">
        <v>20</v>
      </c>
      <c r="I238" s="116">
        <v>20</v>
      </c>
      <c r="J238" s="116">
        <v>17</v>
      </c>
      <c r="K238" s="116">
        <v>20</v>
      </c>
      <c r="L238" s="116">
        <v>17</v>
      </c>
      <c r="M238" s="116">
        <v>17</v>
      </c>
      <c r="N238" s="116">
        <v>20</v>
      </c>
      <c r="O238" s="53">
        <v>20</v>
      </c>
      <c r="P238" s="102">
        <v>20</v>
      </c>
      <c r="Q238" s="102"/>
      <c r="R238" s="12">
        <v>20</v>
      </c>
      <c r="S238" s="13">
        <f>SUM(G238:R238)</f>
        <v>191</v>
      </c>
      <c r="T238" s="2">
        <f t="shared" ref="T238:T253" si="11">COUNTIF(G238:R238,"&gt;1")</f>
        <v>10</v>
      </c>
      <c r="U238" s="102">
        <f>Table13[[#This Row],[Total]]-Table13[[#This Row],[4]]-Table13[[#This Row],[6]]</f>
        <v>157</v>
      </c>
      <c r="V238" s="2" t="s">
        <v>0</v>
      </c>
    </row>
    <row r="239" spans="5:22" x14ac:dyDescent="0.3">
      <c r="E239" s="3" t="s">
        <v>166</v>
      </c>
      <c r="F239" s="9" t="s">
        <v>26</v>
      </c>
      <c r="G239" s="10">
        <v>17</v>
      </c>
      <c r="H239" s="50"/>
      <c r="I239" s="93">
        <v>17</v>
      </c>
      <c r="J239" s="93">
        <v>15</v>
      </c>
      <c r="K239" s="93"/>
      <c r="L239" s="93">
        <v>15</v>
      </c>
      <c r="M239" s="93"/>
      <c r="N239" s="93"/>
      <c r="O239" s="53">
        <v>17</v>
      </c>
      <c r="P239" s="50">
        <v>17</v>
      </c>
      <c r="Q239" s="50">
        <v>15</v>
      </c>
      <c r="R239" s="9">
        <v>17</v>
      </c>
      <c r="S239" s="10">
        <f>SUM(G239:R239)</f>
        <v>130</v>
      </c>
      <c r="T239" s="3">
        <f t="shared" si="11"/>
        <v>8</v>
      </c>
      <c r="U239" s="50">
        <f>Table13[[#This Row],[Total]]</f>
        <v>130</v>
      </c>
      <c r="V239" s="3" t="s">
        <v>1</v>
      </c>
    </row>
    <row r="240" spans="5:22" x14ac:dyDescent="0.3">
      <c r="E240" s="3" t="s">
        <v>112</v>
      </c>
      <c r="F240" s="9" t="s">
        <v>121</v>
      </c>
      <c r="G240" s="10"/>
      <c r="H240" s="50">
        <v>17</v>
      </c>
      <c r="I240" s="93"/>
      <c r="J240" s="93">
        <v>20</v>
      </c>
      <c r="K240" s="93">
        <v>13</v>
      </c>
      <c r="L240" s="93">
        <v>20</v>
      </c>
      <c r="M240" s="93"/>
      <c r="N240" s="93"/>
      <c r="O240" s="53"/>
      <c r="P240" s="50"/>
      <c r="Q240" s="50">
        <v>17</v>
      </c>
      <c r="R240" s="9"/>
      <c r="S240" s="10">
        <f>SUM(G240:R240)</f>
        <v>87</v>
      </c>
      <c r="T240" s="3">
        <f t="shared" si="11"/>
        <v>5</v>
      </c>
      <c r="U240" s="50">
        <f>Table13[[#This Row],[Total]]</f>
        <v>87</v>
      </c>
      <c r="V240" s="3" t="s">
        <v>2</v>
      </c>
    </row>
    <row r="241" spans="5:22" x14ac:dyDescent="0.3">
      <c r="E241" s="3" t="s">
        <v>186</v>
      </c>
      <c r="F241" s="9" t="s">
        <v>160</v>
      </c>
      <c r="G241" s="10"/>
      <c r="H241" s="50"/>
      <c r="I241" s="93"/>
      <c r="J241" s="93">
        <v>13</v>
      </c>
      <c r="K241" s="93">
        <v>15</v>
      </c>
      <c r="L241" s="93"/>
      <c r="M241" s="93">
        <v>13</v>
      </c>
      <c r="N241" s="93">
        <v>17</v>
      </c>
      <c r="O241" s="53"/>
      <c r="P241" s="50"/>
      <c r="Q241" s="50">
        <v>20</v>
      </c>
      <c r="R241" s="9"/>
      <c r="S241" s="10">
        <f>SUM(Table13[[#This Row],[1]:[12]])</f>
        <v>78</v>
      </c>
      <c r="T241" s="3">
        <f t="shared" si="11"/>
        <v>5</v>
      </c>
      <c r="U241" s="50">
        <f>Table13[[#This Row],[Total]]</f>
        <v>78</v>
      </c>
      <c r="V241" s="3"/>
    </row>
    <row r="242" spans="5:22" x14ac:dyDescent="0.3">
      <c r="E242" s="3" t="s">
        <v>74</v>
      </c>
      <c r="F242" s="9" t="s">
        <v>121</v>
      </c>
      <c r="G242" s="10"/>
      <c r="H242" s="50">
        <v>13</v>
      </c>
      <c r="I242" s="93"/>
      <c r="J242" s="93"/>
      <c r="K242" s="93"/>
      <c r="L242" s="93">
        <v>13</v>
      </c>
      <c r="M242" s="93">
        <v>10</v>
      </c>
      <c r="N242" s="93">
        <v>15</v>
      </c>
      <c r="O242" s="53"/>
      <c r="P242" s="50"/>
      <c r="Q242" s="50"/>
      <c r="R242" s="9"/>
      <c r="S242" s="10">
        <f>SUM(Table13[[#This Row],[1]:[12]])</f>
        <v>51</v>
      </c>
      <c r="T242" s="3">
        <f t="shared" si="11"/>
        <v>4</v>
      </c>
      <c r="U242" s="50">
        <f>Table13[[#This Row],[Total]]</f>
        <v>51</v>
      </c>
      <c r="V242" s="3"/>
    </row>
    <row r="243" spans="5:22" x14ac:dyDescent="0.3">
      <c r="E243" s="3" t="s">
        <v>204</v>
      </c>
      <c r="F243" s="9" t="s">
        <v>160</v>
      </c>
      <c r="G243" s="10"/>
      <c r="H243" s="50"/>
      <c r="I243" s="93"/>
      <c r="J243" s="93"/>
      <c r="K243" s="93">
        <v>17</v>
      </c>
      <c r="L243" s="93"/>
      <c r="M243" s="93">
        <v>15</v>
      </c>
      <c r="N243" s="93"/>
      <c r="O243" s="53"/>
      <c r="P243" s="50"/>
      <c r="Q243" s="50"/>
      <c r="R243" s="9"/>
      <c r="S243" s="10">
        <f t="shared" ref="S243:S253" si="12">SUM(G243:R243)</f>
        <v>32</v>
      </c>
      <c r="T243" s="3">
        <f t="shared" si="11"/>
        <v>2</v>
      </c>
      <c r="U243" s="50">
        <f>Table13[[#This Row],[Total]]</f>
        <v>32</v>
      </c>
      <c r="V243" s="3"/>
    </row>
    <row r="244" spans="5:22" x14ac:dyDescent="0.3">
      <c r="E244" s="3" t="s">
        <v>75</v>
      </c>
      <c r="F244" s="9" t="s">
        <v>160</v>
      </c>
      <c r="G244" s="10"/>
      <c r="H244" s="50">
        <v>11</v>
      </c>
      <c r="I244" s="93"/>
      <c r="J244" s="93"/>
      <c r="K244" s="93"/>
      <c r="L244" s="93">
        <v>11</v>
      </c>
      <c r="M244" s="93"/>
      <c r="N244" s="93"/>
      <c r="O244" s="53"/>
      <c r="P244" s="50"/>
      <c r="Q244" s="50"/>
      <c r="R244" s="9"/>
      <c r="S244" s="10">
        <f t="shared" si="12"/>
        <v>22</v>
      </c>
      <c r="T244" s="3">
        <f t="shared" si="11"/>
        <v>2</v>
      </c>
      <c r="U244" s="50">
        <f>Table13[[#This Row],[Total]]</f>
        <v>22</v>
      </c>
      <c r="V244" s="3"/>
    </row>
    <row r="245" spans="5:22" x14ac:dyDescent="0.3">
      <c r="E245" s="3" t="s">
        <v>102</v>
      </c>
      <c r="F245" s="9" t="s">
        <v>26</v>
      </c>
      <c r="G245" s="10">
        <v>20</v>
      </c>
      <c r="H245" s="50"/>
      <c r="I245" s="93"/>
      <c r="J245" s="93"/>
      <c r="K245" s="93"/>
      <c r="L245" s="93"/>
      <c r="M245" s="93"/>
      <c r="N245" s="93"/>
      <c r="O245" s="53"/>
      <c r="P245" s="50"/>
      <c r="Q245" s="50"/>
      <c r="R245" s="9"/>
      <c r="S245" s="10">
        <f t="shared" si="12"/>
        <v>20</v>
      </c>
      <c r="T245" s="3">
        <f t="shared" si="11"/>
        <v>1</v>
      </c>
      <c r="U245" s="50">
        <f>Table13[[#This Row],[Total]]</f>
        <v>20</v>
      </c>
      <c r="V245" s="3"/>
    </row>
    <row r="246" spans="5:22" x14ac:dyDescent="0.3">
      <c r="E246" s="3" t="s">
        <v>187</v>
      </c>
      <c r="F246" s="9" t="s">
        <v>160</v>
      </c>
      <c r="G246" s="10"/>
      <c r="H246" s="50"/>
      <c r="I246" s="93"/>
      <c r="J246" s="93">
        <v>11</v>
      </c>
      <c r="K246" s="93">
        <v>9</v>
      </c>
      <c r="L246" s="93"/>
      <c r="M246" s="93"/>
      <c r="N246" s="93"/>
      <c r="O246" s="53"/>
      <c r="P246" s="50"/>
      <c r="Q246" s="50"/>
      <c r="R246" s="9"/>
      <c r="S246" s="10">
        <f t="shared" si="12"/>
        <v>20</v>
      </c>
      <c r="T246" s="3">
        <f t="shared" si="11"/>
        <v>2</v>
      </c>
      <c r="U246" s="50">
        <f>Table13[[#This Row],[Total]]</f>
        <v>20</v>
      </c>
      <c r="V246" s="3"/>
    </row>
    <row r="247" spans="5:22" x14ac:dyDescent="0.3">
      <c r="E247" s="3" t="s">
        <v>220</v>
      </c>
      <c r="F247" s="9" t="s">
        <v>52</v>
      </c>
      <c r="G247" s="10"/>
      <c r="H247" s="50"/>
      <c r="I247" s="93"/>
      <c r="J247" s="93"/>
      <c r="K247" s="93"/>
      <c r="L247" s="93"/>
      <c r="M247" s="93">
        <v>20</v>
      </c>
      <c r="N247" s="93"/>
      <c r="O247" s="53"/>
      <c r="P247" s="50"/>
      <c r="Q247" s="50"/>
      <c r="R247" s="9"/>
      <c r="S247" s="10">
        <f t="shared" si="12"/>
        <v>20</v>
      </c>
      <c r="T247" s="3">
        <f t="shared" si="11"/>
        <v>1</v>
      </c>
      <c r="U247" s="50">
        <f>Table13[[#This Row],[Total]]</f>
        <v>20</v>
      </c>
      <c r="V247" s="3"/>
    </row>
    <row r="248" spans="5:22" x14ac:dyDescent="0.3">
      <c r="E248" s="3" t="s">
        <v>113</v>
      </c>
      <c r="F248" s="9" t="s">
        <v>160</v>
      </c>
      <c r="G248" s="10"/>
      <c r="H248" s="50">
        <v>15</v>
      </c>
      <c r="I248" s="93"/>
      <c r="J248" s="93"/>
      <c r="K248" s="93"/>
      <c r="L248" s="93"/>
      <c r="M248" s="93"/>
      <c r="N248" s="93"/>
      <c r="O248" s="53"/>
      <c r="P248" s="50"/>
      <c r="Q248" s="50"/>
      <c r="R248" s="9"/>
      <c r="S248" s="10">
        <f t="shared" si="12"/>
        <v>15</v>
      </c>
      <c r="T248" s="3">
        <f t="shared" si="11"/>
        <v>1</v>
      </c>
      <c r="U248" s="50">
        <f>Table13[[#This Row],[Total]]</f>
        <v>15</v>
      </c>
      <c r="V248" s="3"/>
    </row>
    <row r="249" spans="5:22" x14ac:dyDescent="0.3">
      <c r="E249" s="3" t="s">
        <v>265</v>
      </c>
      <c r="F249" s="9" t="s">
        <v>160</v>
      </c>
      <c r="G249" s="10"/>
      <c r="H249" s="50"/>
      <c r="I249" s="50"/>
      <c r="J249" s="50"/>
      <c r="K249" s="50"/>
      <c r="L249" s="50"/>
      <c r="M249" s="50"/>
      <c r="N249" s="50"/>
      <c r="O249" s="50"/>
      <c r="P249" s="50"/>
      <c r="Q249" s="50">
        <v>13</v>
      </c>
      <c r="R249" s="9"/>
      <c r="S249" s="10">
        <f t="shared" si="12"/>
        <v>13</v>
      </c>
      <c r="T249" s="3">
        <f t="shared" si="11"/>
        <v>1</v>
      </c>
      <c r="U249" s="50">
        <f>Table13[[#This Row],[Total]]</f>
        <v>13</v>
      </c>
      <c r="V249" s="3"/>
    </row>
    <row r="250" spans="5:22" x14ac:dyDescent="0.3">
      <c r="E250" s="3" t="s">
        <v>205</v>
      </c>
      <c r="F250" s="9" t="s">
        <v>26</v>
      </c>
      <c r="G250" s="75"/>
      <c r="H250" s="93"/>
      <c r="I250" s="93"/>
      <c r="J250" s="93"/>
      <c r="K250" s="93">
        <v>11</v>
      </c>
      <c r="L250" s="93"/>
      <c r="M250" s="93"/>
      <c r="N250" s="93"/>
      <c r="O250" s="53"/>
      <c r="P250" s="93"/>
      <c r="Q250" s="93"/>
      <c r="R250" s="52"/>
      <c r="S250" s="76">
        <f t="shared" si="12"/>
        <v>11</v>
      </c>
      <c r="T250" s="3">
        <f t="shared" si="11"/>
        <v>1</v>
      </c>
      <c r="U250" s="54">
        <f>Table13[[#This Row],[Total]]</f>
        <v>11</v>
      </c>
      <c r="V250" s="3"/>
    </row>
    <row r="251" spans="5:22" x14ac:dyDescent="0.3">
      <c r="E251" s="3" t="s">
        <v>221</v>
      </c>
      <c r="F251" s="9" t="s">
        <v>160</v>
      </c>
      <c r="G251" s="10"/>
      <c r="H251" s="50"/>
      <c r="I251" s="50"/>
      <c r="J251" s="50"/>
      <c r="K251" s="50"/>
      <c r="L251" s="50"/>
      <c r="M251" s="50"/>
      <c r="N251" s="50">
        <v>11</v>
      </c>
      <c r="O251" s="50"/>
      <c r="P251" s="50"/>
      <c r="Q251" s="50"/>
      <c r="R251" s="9"/>
      <c r="S251" s="10">
        <f t="shared" si="12"/>
        <v>11</v>
      </c>
      <c r="T251" s="3">
        <f t="shared" si="11"/>
        <v>1</v>
      </c>
      <c r="U251" s="50">
        <f>Table13[[#This Row],[Total]]</f>
        <v>11</v>
      </c>
      <c r="V251" s="3"/>
    </row>
    <row r="252" spans="5:22" x14ac:dyDescent="0.3">
      <c r="E252" s="3" t="s">
        <v>161</v>
      </c>
      <c r="F252" s="9" t="s">
        <v>160</v>
      </c>
      <c r="G252" s="10"/>
      <c r="H252" s="50"/>
      <c r="I252" s="50"/>
      <c r="J252" s="50"/>
      <c r="K252" s="50"/>
      <c r="L252" s="50"/>
      <c r="M252" s="50"/>
      <c r="N252" s="50"/>
      <c r="O252" s="50"/>
      <c r="P252" s="50"/>
      <c r="Q252" s="50">
        <v>11</v>
      </c>
      <c r="R252" s="9"/>
      <c r="S252" s="10">
        <f t="shared" si="12"/>
        <v>11</v>
      </c>
      <c r="T252" s="3">
        <f t="shared" si="11"/>
        <v>1</v>
      </c>
      <c r="U252" s="50">
        <f>Table13[[#This Row],[Total]]</f>
        <v>11</v>
      </c>
      <c r="V252" s="3"/>
    </row>
    <row r="253" spans="5:22" ht="15" thickBot="1" x14ac:dyDescent="0.35">
      <c r="E253" s="4" t="s">
        <v>206</v>
      </c>
      <c r="F253" s="11" t="s">
        <v>160</v>
      </c>
      <c r="G253" s="85"/>
      <c r="H253" s="5"/>
      <c r="I253" s="108"/>
      <c r="J253" s="108"/>
      <c r="K253" s="108">
        <v>10</v>
      </c>
      <c r="L253" s="108"/>
      <c r="M253" s="108"/>
      <c r="N253" s="108"/>
      <c r="O253" s="108"/>
      <c r="P253" s="5"/>
      <c r="Q253" s="5"/>
      <c r="R253" s="11"/>
      <c r="S253" s="85">
        <f t="shared" si="12"/>
        <v>10</v>
      </c>
      <c r="T253" s="4">
        <f t="shared" si="11"/>
        <v>1</v>
      </c>
      <c r="U253" s="5">
        <f>Table13[[#This Row],[Total]]</f>
        <v>10</v>
      </c>
      <c r="V253" s="4"/>
    </row>
    <row r="254" spans="5:22" ht="15" thickBot="1" x14ac:dyDescent="0.35"/>
    <row r="255" spans="5:22" ht="153" thickBot="1" x14ac:dyDescent="0.35">
      <c r="E255" s="36" t="s">
        <v>41</v>
      </c>
      <c r="F255" s="36" t="s">
        <v>137</v>
      </c>
      <c r="G255" s="102" t="s">
        <v>88</v>
      </c>
      <c r="H255" s="102" t="s">
        <v>89</v>
      </c>
      <c r="I255" s="102" t="s">
        <v>90</v>
      </c>
      <c r="J255" s="102" t="s">
        <v>91</v>
      </c>
      <c r="K255" s="102" t="s">
        <v>92</v>
      </c>
      <c r="L255" s="102" t="s">
        <v>93</v>
      </c>
      <c r="M255" s="102" t="s">
        <v>94</v>
      </c>
      <c r="N255" s="102" t="s">
        <v>95</v>
      </c>
      <c r="O255" s="102" t="s">
        <v>96</v>
      </c>
      <c r="P255" s="102" t="s">
        <v>97</v>
      </c>
      <c r="Q255" s="102" t="s">
        <v>98</v>
      </c>
      <c r="R255" s="102" t="s">
        <v>99</v>
      </c>
      <c r="S255" s="106" t="s">
        <v>32</v>
      </c>
      <c r="T255" s="106" t="s">
        <v>43</v>
      </c>
      <c r="U255" s="32" t="s">
        <v>79</v>
      </c>
      <c r="V255" s="32" t="s">
        <v>15</v>
      </c>
    </row>
    <row r="256" spans="5:22" x14ac:dyDescent="0.3">
      <c r="E256" s="2" t="s">
        <v>117</v>
      </c>
      <c r="F256" s="2" t="s">
        <v>30</v>
      </c>
      <c r="G256" s="115">
        <v>15</v>
      </c>
      <c r="H256" s="116">
        <v>15</v>
      </c>
      <c r="I256" s="116">
        <v>20</v>
      </c>
      <c r="J256" s="116">
        <v>13</v>
      </c>
      <c r="K256" s="116">
        <v>17</v>
      </c>
      <c r="L256" s="116">
        <v>20</v>
      </c>
      <c r="M256" s="116">
        <v>15</v>
      </c>
      <c r="N256" s="116">
        <v>17</v>
      </c>
      <c r="O256" s="116">
        <v>20</v>
      </c>
      <c r="P256" s="116"/>
      <c r="Q256" s="116">
        <v>17</v>
      </c>
      <c r="R256" s="117">
        <v>20</v>
      </c>
      <c r="S256" s="118">
        <f>SUM(Table14[[#This Row],[1]:[12]])</f>
        <v>189</v>
      </c>
      <c r="T256" s="119">
        <f t="shared" ref="T256:T274" si="13">COUNTIF(G256:R256,"&gt;1")</f>
        <v>11</v>
      </c>
      <c r="U256" s="120">
        <f>Table14[[#This Row],[Total]]-Table14[[#This Row],[4]]-Table14[[#This Row],[1]]-Table14[[#This Row],[2]]</f>
        <v>146</v>
      </c>
      <c r="V256" s="2" t="s">
        <v>0</v>
      </c>
    </row>
    <row r="257" spans="5:22" x14ac:dyDescent="0.3">
      <c r="E257" s="3" t="s">
        <v>225</v>
      </c>
      <c r="F257" s="3" t="s">
        <v>160</v>
      </c>
      <c r="G257" s="75"/>
      <c r="H257" s="93"/>
      <c r="I257" s="93"/>
      <c r="J257" s="93"/>
      <c r="K257" s="93"/>
      <c r="L257" s="93"/>
      <c r="M257" s="93">
        <v>11</v>
      </c>
      <c r="N257" s="93">
        <v>15</v>
      </c>
      <c r="O257" s="93">
        <v>17</v>
      </c>
      <c r="P257" s="93"/>
      <c r="Q257" s="93">
        <v>13</v>
      </c>
      <c r="R257" s="52">
        <v>15</v>
      </c>
      <c r="S257" s="51">
        <f>SUM(Table14[[#This Row],[1]:[12]])</f>
        <v>71</v>
      </c>
      <c r="T257" s="76">
        <f t="shared" si="13"/>
        <v>5</v>
      </c>
      <c r="U257" s="3">
        <f>Table14[[#This Row],[Total]]</f>
        <v>71</v>
      </c>
      <c r="V257" s="3" t="s">
        <v>1</v>
      </c>
    </row>
    <row r="258" spans="5:22" x14ac:dyDescent="0.3">
      <c r="E258" s="3" t="s">
        <v>188</v>
      </c>
      <c r="F258" s="3" t="s">
        <v>160</v>
      </c>
      <c r="G258" s="10"/>
      <c r="H258" s="50"/>
      <c r="I258" s="93"/>
      <c r="J258" s="93">
        <v>15</v>
      </c>
      <c r="K258" s="93">
        <v>13</v>
      </c>
      <c r="L258" s="93"/>
      <c r="M258" s="93">
        <v>8</v>
      </c>
      <c r="N258" s="93"/>
      <c r="O258" s="93"/>
      <c r="P258" s="50"/>
      <c r="Q258" s="50">
        <v>20</v>
      </c>
      <c r="R258" s="9"/>
      <c r="S258" s="3">
        <f>SUM(Table14[[#This Row],[1]:[12]])</f>
        <v>56</v>
      </c>
      <c r="T258" s="10">
        <f t="shared" si="13"/>
        <v>4</v>
      </c>
      <c r="U258" s="3">
        <f>Table14[[#This Row],[Total]]</f>
        <v>56</v>
      </c>
      <c r="V258" s="3" t="s">
        <v>2</v>
      </c>
    </row>
    <row r="259" spans="5:22" x14ac:dyDescent="0.3">
      <c r="E259" s="3" t="s">
        <v>207</v>
      </c>
      <c r="F259" s="3" t="s">
        <v>160</v>
      </c>
      <c r="G259" s="75"/>
      <c r="H259" s="93"/>
      <c r="I259" s="93"/>
      <c r="J259" s="93"/>
      <c r="K259" s="93">
        <v>20</v>
      </c>
      <c r="L259" s="93"/>
      <c r="M259" s="93">
        <v>17</v>
      </c>
      <c r="N259" s="93"/>
      <c r="O259" s="93"/>
      <c r="P259" s="93"/>
      <c r="Q259" s="93">
        <v>15</v>
      </c>
      <c r="R259" s="52"/>
      <c r="S259" s="51">
        <f>SUM(Table14[[#This Row],[1]:[12]])</f>
        <v>52</v>
      </c>
      <c r="T259" s="76">
        <f t="shared" si="13"/>
        <v>3</v>
      </c>
      <c r="U259" s="3">
        <f>Table14[[#This Row],[Total]]</f>
        <v>52</v>
      </c>
      <c r="V259" s="3"/>
    </row>
    <row r="260" spans="5:22" x14ac:dyDescent="0.3">
      <c r="E260" s="3" t="s">
        <v>114</v>
      </c>
      <c r="F260" s="3" t="s">
        <v>121</v>
      </c>
      <c r="G260" s="10"/>
      <c r="H260" s="50">
        <v>20</v>
      </c>
      <c r="I260" s="93"/>
      <c r="J260" s="93">
        <v>20</v>
      </c>
      <c r="K260" s="93"/>
      <c r="L260" s="93"/>
      <c r="M260" s="93"/>
      <c r="N260" s="93"/>
      <c r="O260" s="93"/>
      <c r="P260" s="50"/>
      <c r="Q260" s="50"/>
      <c r="R260" s="9"/>
      <c r="S260" s="3">
        <f>SUM(Table14[[#This Row],[1]:[12]])</f>
        <v>40</v>
      </c>
      <c r="T260" s="10">
        <f t="shared" si="13"/>
        <v>2</v>
      </c>
      <c r="U260" s="3">
        <f>Table14[[#This Row],[Total]]</f>
        <v>40</v>
      </c>
      <c r="V260" s="3"/>
    </row>
    <row r="261" spans="5:22" x14ac:dyDescent="0.3">
      <c r="E261" s="3" t="s">
        <v>222</v>
      </c>
      <c r="F261" s="3" t="s">
        <v>160</v>
      </c>
      <c r="G261" s="75"/>
      <c r="H261" s="93"/>
      <c r="I261" s="93"/>
      <c r="J261" s="93"/>
      <c r="K261" s="93"/>
      <c r="L261" s="93"/>
      <c r="M261" s="93">
        <v>20</v>
      </c>
      <c r="N261" s="93">
        <v>20</v>
      </c>
      <c r="O261" s="93"/>
      <c r="P261" s="93"/>
      <c r="Q261" s="93"/>
      <c r="R261" s="52"/>
      <c r="S261" s="51">
        <f>SUM(Table14[[#This Row],[1]:[12]])</f>
        <v>40</v>
      </c>
      <c r="T261" s="76">
        <f t="shared" si="13"/>
        <v>2</v>
      </c>
      <c r="U261" s="3">
        <f>Table14[[#This Row],[Total]]</f>
        <v>40</v>
      </c>
      <c r="V261" s="3"/>
    </row>
    <row r="262" spans="5:22" x14ac:dyDescent="0.3">
      <c r="E262" s="3" t="s">
        <v>161</v>
      </c>
      <c r="F262" s="3" t="s">
        <v>160</v>
      </c>
      <c r="G262" s="10"/>
      <c r="H262" s="50">
        <v>17</v>
      </c>
      <c r="I262" s="93"/>
      <c r="J262" s="93">
        <v>17</v>
      </c>
      <c r="K262" s="93"/>
      <c r="L262" s="93"/>
      <c r="M262" s="93"/>
      <c r="N262" s="93"/>
      <c r="O262" s="93"/>
      <c r="P262" s="50"/>
      <c r="Q262" s="50"/>
      <c r="R262" s="9"/>
      <c r="S262" s="3">
        <f>SUM(Table14[[#This Row],[1]:[12]])</f>
        <v>34</v>
      </c>
      <c r="T262" s="10">
        <f t="shared" si="13"/>
        <v>2</v>
      </c>
      <c r="U262" s="3">
        <f>Table14[[#This Row],[Total]]</f>
        <v>34</v>
      </c>
      <c r="V262" s="3"/>
    </row>
    <row r="263" spans="5:22" x14ac:dyDescent="0.3">
      <c r="E263" s="3" t="s">
        <v>223</v>
      </c>
      <c r="F263" s="3" t="s">
        <v>160</v>
      </c>
      <c r="G263" s="75"/>
      <c r="H263" s="93"/>
      <c r="I263" s="93"/>
      <c r="J263" s="93"/>
      <c r="K263" s="93"/>
      <c r="L263" s="93"/>
      <c r="M263" s="93">
        <v>13</v>
      </c>
      <c r="N263" s="93"/>
      <c r="O263" s="93">
        <v>15</v>
      </c>
      <c r="P263" s="93"/>
      <c r="Q263" s="93"/>
      <c r="R263" s="52"/>
      <c r="S263" s="51">
        <f>SUM(Table14[[#This Row],[1]:[12]])</f>
        <v>28</v>
      </c>
      <c r="T263" s="76">
        <f t="shared" si="13"/>
        <v>2</v>
      </c>
      <c r="U263" s="3">
        <f>Table14[[#This Row],[Total]]</f>
        <v>28</v>
      </c>
      <c r="V263" s="3"/>
    </row>
    <row r="264" spans="5:22" x14ac:dyDescent="0.3">
      <c r="E264" s="3" t="s">
        <v>224</v>
      </c>
      <c r="F264" s="3" t="s">
        <v>160</v>
      </c>
      <c r="G264" s="10"/>
      <c r="H264" s="50"/>
      <c r="I264" s="93"/>
      <c r="J264" s="93"/>
      <c r="K264" s="93">
        <v>15</v>
      </c>
      <c r="L264" s="93"/>
      <c r="M264" s="93">
        <v>11</v>
      </c>
      <c r="N264" s="93"/>
      <c r="O264" s="93"/>
      <c r="P264" s="50"/>
      <c r="Q264" s="50"/>
      <c r="R264" s="9"/>
      <c r="S264" s="3">
        <f>SUM(Table14[[#This Row],[1]:[12]])</f>
        <v>26</v>
      </c>
      <c r="T264" s="10">
        <f t="shared" si="13"/>
        <v>2</v>
      </c>
      <c r="U264" s="3">
        <f>Table14[[#This Row],[Total]]</f>
        <v>26</v>
      </c>
      <c r="V264" s="3"/>
    </row>
    <row r="265" spans="5:22" x14ac:dyDescent="0.3">
      <c r="E265" s="3" t="s">
        <v>75</v>
      </c>
      <c r="F265" s="3" t="s">
        <v>160</v>
      </c>
      <c r="G265" s="75">
        <v>20</v>
      </c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52"/>
      <c r="S265" s="51">
        <f>SUM(Table14[[#This Row],[1]:[12]])</f>
        <v>20</v>
      </c>
      <c r="T265" s="76">
        <f t="shared" si="13"/>
        <v>1</v>
      </c>
      <c r="U265" s="3">
        <f>Table14[[#This Row],[Total]]</f>
        <v>20</v>
      </c>
      <c r="V265" s="3"/>
    </row>
    <row r="266" spans="5:22" x14ac:dyDescent="0.3">
      <c r="E266" s="3" t="s">
        <v>74</v>
      </c>
      <c r="F266" s="3" t="s">
        <v>121</v>
      </c>
      <c r="G266" s="75">
        <v>17</v>
      </c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52"/>
      <c r="S266" s="51">
        <f>SUM(Table14[[#This Row],[1]:[12]])</f>
        <v>17</v>
      </c>
      <c r="T266" s="76">
        <f t="shared" si="13"/>
        <v>1</v>
      </c>
      <c r="U266" s="3">
        <f>Table14[[#This Row],[Total]]</f>
        <v>17</v>
      </c>
      <c r="V266" s="3"/>
    </row>
    <row r="267" spans="5:22" x14ac:dyDescent="0.3">
      <c r="E267" s="3" t="s">
        <v>272</v>
      </c>
      <c r="F267" s="3" t="s">
        <v>160</v>
      </c>
      <c r="G267" s="1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9">
        <v>17</v>
      </c>
      <c r="S267" s="3">
        <f>SUM(Table14[[#This Row],[1]:[12]])</f>
        <v>17</v>
      </c>
      <c r="T267" s="50">
        <f t="shared" si="13"/>
        <v>1</v>
      </c>
      <c r="U267" s="3">
        <f>Table14[[#This Row],[Total]]</f>
        <v>17</v>
      </c>
      <c r="V267" s="3"/>
    </row>
    <row r="268" spans="5:22" x14ac:dyDescent="0.3">
      <c r="E268" s="3" t="s">
        <v>125</v>
      </c>
      <c r="F268" s="3" t="s">
        <v>160</v>
      </c>
      <c r="G268" s="10"/>
      <c r="H268" s="50">
        <v>13</v>
      </c>
      <c r="I268" s="93"/>
      <c r="J268" s="93"/>
      <c r="K268" s="93"/>
      <c r="L268" s="93"/>
      <c r="M268" s="93"/>
      <c r="N268" s="93"/>
      <c r="O268" s="93"/>
      <c r="P268" s="50"/>
      <c r="Q268" s="50"/>
      <c r="R268" s="9"/>
      <c r="S268" s="3">
        <f>SUM(Table14[[#This Row],[1]:[12]])</f>
        <v>13</v>
      </c>
      <c r="T268" s="50">
        <f t="shared" si="13"/>
        <v>1</v>
      </c>
      <c r="U268" s="3">
        <f>Table14[[#This Row],[Total]]</f>
        <v>13</v>
      </c>
      <c r="V268" s="3"/>
    </row>
    <row r="269" spans="5:22" x14ac:dyDescent="0.3">
      <c r="E269" s="3" t="s">
        <v>226</v>
      </c>
      <c r="F269" s="3"/>
      <c r="G269" s="75"/>
      <c r="H269" s="93"/>
      <c r="I269" s="93"/>
      <c r="J269" s="93"/>
      <c r="K269" s="93"/>
      <c r="L269" s="93"/>
      <c r="M269" s="93">
        <v>10</v>
      </c>
      <c r="N269" s="93"/>
      <c r="O269" s="93"/>
      <c r="P269" s="93"/>
      <c r="Q269" s="93"/>
      <c r="R269" s="52"/>
      <c r="S269" s="51">
        <f>SUM(Table14[[#This Row],[1]:[12]])</f>
        <v>10</v>
      </c>
      <c r="T269" s="54">
        <f t="shared" si="13"/>
        <v>1</v>
      </c>
      <c r="U269" s="3">
        <f>Table14[[#This Row],[Total]]</f>
        <v>10</v>
      </c>
      <c r="V269" s="3"/>
    </row>
    <row r="270" spans="5:22" x14ac:dyDescent="0.3">
      <c r="E270" s="3" t="s">
        <v>227</v>
      </c>
      <c r="F270" s="3" t="s">
        <v>160</v>
      </c>
      <c r="G270" s="75"/>
      <c r="H270" s="93"/>
      <c r="I270" s="93"/>
      <c r="J270" s="93"/>
      <c r="K270" s="93"/>
      <c r="L270" s="93"/>
      <c r="M270" s="93">
        <v>9</v>
      </c>
      <c r="N270" s="93"/>
      <c r="O270" s="93"/>
      <c r="P270" s="93"/>
      <c r="Q270" s="93"/>
      <c r="R270" s="52"/>
      <c r="S270" s="51">
        <f>SUM(Table14[[#This Row],[1]:[12]])</f>
        <v>9</v>
      </c>
      <c r="T270" s="54">
        <f t="shared" si="13"/>
        <v>1</v>
      </c>
      <c r="U270" s="3">
        <f>Table14[[#This Row],[Total]]</f>
        <v>9</v>
      </c>
      <c r="V270" s="3"/>
    </row>
    <row r="271" spans="5:22" x14ac:dyDescent="0.3">
      <c r="E271" s="3"/>
      <c r="F271" s="3"/>
      <c r="G271" s="75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52"/>
      <c r="S271" s="51">
        <f>SUM(Table14[[#This Row],[1]:[12]])</f>
        <v>0</v>
      </c>
      <c r="T271" s="54">
        <f t="shared" si="13"/>
        <v>0</v>
      </c>
      <c r="U271" s="55">
        <f>Table14[[#This Row],[Total]]-Table14[[#This Row],[4]]</f>
        <v>0</v>
      </c>
      <c r="V271" s="3"/>
    </row>
    <row r="272" spans="5:22" x14ac:dyDescent="0.3">
      <c r="E272" s="3"/>
      <c r="F272" s="3"/>
      <c r="G272" s="75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52"/>
      <c r="S272" s="51">
        <f>SUM(Table14[[#This Row],[1]:[12]])</f>
        <v>0</v>
      </c>
      <c r="T272" s="54">
        <f t="shared" si="13"/>
        <v>0</v>
      </c>
      <c r="U272" s="55">
        <f>Table14[[#This Row],[Total]]-Table14[[#This Row],[4]]</f>
        <v>0</v>
      </c>
      <c r="V272" s="3"/>
    </row>
    <row r="273" spans="5:24" x14ac:dyDescent="0.3">
      <c r="E273" s="3"/>
      <c r="F273" s="3"/>
      <c r="G273" s="75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52"/>
      <c r="S273" s="51">
        <f>SUM(Table14[[#This Row],[1]:[12]])</f>
        <v>0</v>
      </c>
      <c r="T273" s="54">
        <f t="shared" si="13"/>
        <v>0</v>
      </c>
      <c r="U273" s="55">
        <f>Table14[[#This Row],[Total]]-Table14[[#This Row],[4]]</f>
        <v>0</v>
      </c>
      <c r="V273" s="3"/>
    </row>
    <row r="274" spans="5:24" ht="15" thickBot="1" x14ac:dyDescent="0.35">
      <c r="E274" s="4"/>
      <c r="F274" s="4"/>
      <c r="G274" s="107"/>
      <c r="H274" s="108"/>
      <c r="I274" s="108"/>
      <c r="J274" s="108"/>
      <c r="K274" s="108"/>
      <c r="L274" s="108"/>
      <c r="M274" s="108"/>
      <c r="N274" s="108"/>
      <c r="O274" s="108"/>
      <c r="P274" s="108"/>
      <c r="Q274" s="108"/>
      <c r="R274" s="109"/>
      <c r="S274" s="110">
        <f>SUM(Table14[[#This Row],[1]:[12]])</f>
        <v>0</v>
      </c>
      <c r="T274" s="111">
        <f t="shared" si="13"/>
        <v>0</v>
      </c>
      <c r="U274" s="112">
        <f>Table14[[#This Row],[Total]]-Table14[[#This Row],[4]]</f>
        <v>0</v>
      </c>
      <c r="V274" s="4"/>
    </row>
    <row r="276" spans="5:24" ht="15" thickBot="1" x14ac:dyDescent="0.35"/>
    <row r="277" spans="5:24" ht="153" thickBot="1" x14ac:dyDescent="0.35">
      <c r="E277" s="36" t="s">
        <v>48</v>
      </c>
      <c r="F277" s="36" t="s">
        <v>137</v>
      </c>
      <c r="G277" s="35" t="s">
        <v>88</v>
      </c>
      <c r="H277" s="35" t="s">
        <v>89</v>
      </c>
      <c r="I277" s="35" t="s">
        <v>90</v>
      </c>
      <c r="J277" s="35" t="s">
        <v>91</v>
      </c>
      <c r="K277" s="35" t="s">
        <v>92</v>
      </c>
      <c r="L277" s="35" t="s">
        <v>93</v>
      </c>
      <c r="M277" s="35" t="s">
        <v>94</v>
      </c>
      <c r="N277" s="35" t="s">
        <v>95</v>
      </c>
      <c r="O277" s="35" t="s">
        <v>96</v>
      </c>
      <c r="P277" s="35" t="s">
        <v>97</v>
      </c>
      <c r="Q277" s="35" t="s">
        <v>98</v>
      </c>
      <c r="R277" s="35" t="s">
        <v>99</v>
      </c>
      <c r="S277" s="7" t="s">
        <v>32</v>
      </c>
      <c r="T277" s="7" t="s">
        <v>43</v>
      </c>
      <c r="U277" s="82" t="s">
        <v>78</v>
      </c>
      <c r="V277" s="7" t="s">
        <v>81</v>
      </c>
      <c r="W277" s="32" t="s">
        <v>79</v>
      </c>
      <c r="X277" s="32" t="s">
        <v>15</v>
      </c>
    </row>
    <row r="278" spans="5:24" ht="15" thickBot="1" x14ac:dyDescent="0.35">
      <c r="E278" s="141" t="s">
        <v>54</v>
      </c>
      <c r="F278" s="134" t="s">
        <v>28</v>
      </c>
      <c r="G278" s="133">
        <v>20</v>
      </c>
      <c r="H278" s="133">
        <v>20</v>
      </c>
      <c r="I278" s="142">
        <v>20</v>
      </c>
      <c r="J278" s="142">
        <v>20</v>
      </c>
      <c r="K278" s="142">
        <v>13</v>
      </c>
      <c r="L278" s="142"/>
      <c r="M278" s="142">
        <v>17</v>
      </c>
      <c r="N278" s="142">
        <v>20</v>
      </c>
      <c r="O278" s="53">
        <v>17</v>
      </c>
      <c r="P278" s="133">
        <v>20</v>
      </c>
      <c r="Q278" s="133">
        <v>20</v>
      </c>
      <c r="R278" s="134">
        <v>17</v>
      </c>
      <c r="S278" s="131">
        <f>SUM(Table15[[#This Row],[1]:[12]])</f>
        <v>204</v>
      </c>
      <c r="T278" s="131">
        <f t="shared" ref="T278:T296" si="14">COUNTIF(G278:R278,"&gt;1")</f>
        <v>11</v>
      </c>
      <c r="U278" s="12" t="s">
        <v>189</v>
      </c>
      <c r="V278" s="72" t="str">
        <f>IF(Table15[[#This Row],[Observed? Y or N]]="N", "-20", "0")</f>
        <v>0</v>
      </c>
      <c r="W278" s="65">
        <f>Table15[[#This Row],[Total]]+Table15[[#This Row],[Penalty Applied]]-Table15[[#This Row],[5]]-Table15[[#This Row],[9]]-Table15[[#This Row],[7]]</f>
        <v>157</v>
      </c>
      <c r="X278" s="72" t="s">
        <v>0</v>
      </c>
    </row>
    <row r="279" spans="5:24" ht="15" thickBot="1" x14ac:dyDescent="0.35">
      <c r="E279" s="132" t="s">
        <v>156</v>
      </c>
      <c r="F279" s="124" t="s">
        <v>121</v>
      </c>
      <c r="G279" s="123">
        <v>17</v>
      </c>
      <c r="H279" s="123">
        <v>11</v>
      </c>
      <c r="I279" s="152"/>
      <c r="J279" s="152">
        <v>13</v>
      </c>
      <c r="K279" s="152">
        <v>17</v>
      </c>
      <c r="L279" s="152">
        <v>20</v>
      </c>
      <c r="M279" s="152">
        <v>15</v>
      </c>
      <c r="N279" s="152">
        <v>15</v>
      </c>
      <c r="O279" s="130">
        <v>13</v>
      </c>
      <c r="P279" s="123">
        <v>13</v>
      </c>
      <c r="Q279" s="123">
        <v>13</v>
      </c>
      <c r="R279" s="124"/>
      <c r="S279" s="131">
        <f>SUM(Table15[[#This Row],[1]:[12]])</f>
        <v>147</v>
      </c>
      <c r="T279" s="122">
        <f t="shared" si="14"/>
        <v>10</v>
      </c>
      <c r="U279" s="9" t="s">
        <v>189</v>
      </c>
      <c r="V279" s="65" t="str">
        <f>IF(Table15[[#This Row],[Observed? Y or N]]="N", "-20", "0")</f>
        <v>0</v>
      </c>
      <c r="W279" s="65">
        <f>Table15[[#This Row],[Total]]+Table15[[#This Row],[Penalty Applied]]-Table15[[#This Row],[2]]-Table15[[#This Row],[4]]</f>
        <v>123</v>
      </c>
      <c r="X279" s="65" t="s">
        <v>1</v>
      </c>
    </row>
    <row r="280" spans="5:24" ht="15" thickBot="1" x14ac:dyDescent="0.35">
      <c r="E280" s="58" t="s">
        <v>84</v>
      </c>
      <c r="F280" s="39" t="s">
        <v>26</v>
      </c>
      <c r="G280" s="68">
        <v>13</v>
      </c>
      <c r="H280" s="68">
        <v>17</v>
      </c>
      <c r="I280" s="81">
        <v>17</v>
      </c>
      <c r="J280" s="81">
        <v>20</v>
      </c>
      <c r="K280" s="81"/>
      <c r="L280" s="81"/>
      <c r="M280" s="81">
        <v>20</v>
      </c>
      <c r="N280" s="81"/>
      <c r="O280" s="53">
        <v>15</v>
      </c>
      <c r="P280" s="68">
        <v>17</v>
      </c>
      <c r="Q280" s="68">
        <v>15</v>
      </c>
      <c r="R280" s="39"/>
      <c r="S280" s="42">
        <f>SUM(Table15[[#This Row],[1]:[12]])</f>
        <v>134</v>
      </c>
      <c r="T280" s="41">
        <f t="shared" si="14"/>
        <v>8</v>
      </c>
      <c r="U280" s="9" t="s">
        <v>80</v>
      </c>
      <c r="V280" s="43" t="str">
        <f>IF(Table15[[#This Row],[Observed? Y or N]]="N", "-20", "0")</f>
        <v>-20</v>
      </c>
      <c r="W280" s="43">
        <f>Table15[[#This Row],[Total]]+Table15[[#This Row],[Penalty Applied]]</f>
        <v>114</v>
      </c>
      <c r="X280" s="65" t="s">
        <v>2</v>
      </c>
    </row>
    <row r="281" spans="5:24" x14ac:dyDescent="0.3">
      <c r="E281" s="58" t="s">
        <v>154</v>
      </c>
      <c r="F281" s="39" t="s">
        <v>121</v>
      </c>
      <c r="G281" s="68"/>
      <c r="H281" s="68">
        <v>15</v>
      </c>
      <c r="I281" s="81"/>
      <c r="J281" s="81"/>
      <c r="K281" s="81"/>
      <c r="L281" s="81"/>
      <c r="M281" s="81"/>
      <c r="N281" s="81"/>
      <c r="O281" s="53">
        <v>20</v>
      </c>
      <c r="P281" s="68">
        <v>15</v>
      </c>
      <c r="Q281" s="68">
        <v>17</v>
      </c>
      <c r="R281" s="39">
        <v>13</v>
      </c>
      <c r="S281" s="42">
        <f>SUM(Table15[[#This Row],[1]:[12]])</f>
        <v>80</v>
      </c>
      <c r="T281" s="41">
        <f t="shared" si="14"/>
        <v>5</v>
      </c>
      <c r="U281" s="9" t="s">
        <v>80</v>
      </c>
      <c r="V281" s="43" t="str">
        <f>IF(Table15[[#This Row],[Observed? Y or N]]="N", "-20", "0")</f>
        <v>-20</v>
      </c>
      <c r="W281" s="43">
        <f>Table15[[#This Row],[Total]]+Table15[[#This Row],[Penalty Applied]]</f>
        <v>60</v>
      </c>
      <c r="X281" s="65"/>
    </row>
    <row r="282" spans="5:24" ht="15" thickBot="1" x14ac:dyDescent="0.35">
      <c r="E282" s="132" t="s">
        <v>133</v>
      </c>
      <c r="F282" s="124" t="s">
        <v>26</v>
      </c>
      <c r="G282" s="123">
        <v>15</v>
      </c>
      <c r="H282" s="123"/>
      <c r="I282" s="152"/>
      <c r="J282" s="152">
        <v>11</v>
      </c>
      <c r="K282" s="152">
        <v>15</v>
      </c>
      <c r="L282" s="152">
        <v>15</v>
      </c>
      <c r="M282" s="152"/>
      <c r="N282" s="152"/>
      <c r="O282" s="130"/>
      <c r="P282" s="123"/>
      <c r="Q282" s="123"/>
      <c r="R282" s="124"/>
      <c r="S282" s="122">
        <f>SUM(Table15[[#This Row],[1]:[12]])</f>
        <v>56</v>
      </c>
      <c r="T282" s="122">
        <f t="shared" si="14"/>
        <v>4</v>
      </c>
      <c r="U282" s="9" t="s">
        <v>189</v>
      </c>
      <c r="V282" s="65" t="str">
        <f>IF(Table15[[#This Row],[Observed? Y or N]]="N", "-20", "0")</f>
        <v>0</v>
      </c>
      <c r="W282" s="65">
        <f>Table15[[#This Row],[Total]]+Table15[[#This Row],[Penalty Applied]]</f>
        <v>56</v>
      </c>
      <c r="X282" s="65"/>
    </row>
    <row r="283" spans="5:24" x14ac:dyDescent="0.3">
      <c r="E283" s="58" t="s">
        <v>155</v>
      </c>
      <c r="F283" s="39" t="s">
        <v>124</v>
      </c>
      <c r="G283" s="68"/>
      <c r="H283" s="68">
        <v>13</v>
      </c>
      <c r="I283" s="81"/>
      <c r="J283" s="81">
        <v>15</v>
      </c>
      <c r="K283" s="81">
        <v>20</v>
      </c>
      <c r="L283" s="81"/>
      <c r="M283" s="81"/>
      <c r="N283" s="81">
        <v>17</v>
      </c>
      <c r="O283" s="53"/>
      <c r="P283" s="68"/>
      <c r="Q283" s="68"/>
      <c r="R283" s="39"/>
      <c r="S283" s="42">
        <f>SUM(Table15[[#This Row],[1]:[12]])</f>
        <v>65</v>
      </c>
      <c r="T283" s="41">
        <f t="shared" si="14"/>
        <v>4</v>
      </c>
      <c r="U283" s="71" t="s">
        <v>80</v>
      </c>
      <c r="V283" s="87" t="str">
        <f>IF(Table15[[#This Row],[Observed? Y or N]]="N", "-20", "0")</f>
        <v>-20</v>
      </c>
      <c r="W283" s="87">
        <f>Table15[[#This Row],[Total]]+Table15[[#This Row],[Penalty Applied]]</f>
        <v>45</v>
      </c>
      <c r="X283" s="77"/>
    </row>
    <row r="284" spans="5:24" x14ac:dyDescent="0.3">
      <c r="E284" s="58" t="s">
        <v>209</v>
      </c>
      <c r="F284" s="39"/>
      <c r="G284" s="68"/>
      <c r="H284" s="68"/>
      <c r="I284" s="81"/>
      <c r="J284" s="81"/>
      <c r="K284" s="81"/>
      <c r="L284" s="81">
        <v>17</v>
      </c>
      <c r="M284" s="81">
        <v>11</v>
      </c>
      <c r="N284" s="81"/>
      <c r="O284" s="53"/>
      <c r="P284" s="68"/>
      <c r="Q284" s="68"/>
      <c r="R284" s="39"/>
      <c r="S284" s="41">
        <f>SUM(Table15[[#This Row],[1]:[12]])</f>
        <v>28</v>
      </c>
      <c r="T284" s="41">
        <f t="shared" si="14"/>
        <v>2</v>
      </c>
      <c r="U284" s="9" t="s">
        <v>80</v>
      </c>
      <c r="V284" s="43" t="str">
        <f>IF(Table15[[#This Row],[Observed? Y or N]]="N", "-20", "0")</f>
        <v>-20</v>
      </c>
      <c r="W284" s="43">
        <f>Table15[[#This Row],[Total]]+Table15[[#This Row],[Penalty Applied]]</f>
        <v>8</v>
      </c>
      <c r="X284" s="65"/>
    </row>
    <row r="285" spans="5:24" x14ac:dyDescent="0.3">
      <c r="E285" s="58" t="s">
        <v>273</v>
      </c>
      <c r="F285" s="39" t="s">
        <v>123</v>
      </c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39">
        <v>20</v>
      </c>
      <c r="S285" s="41">
        <f>SUM(Table15[[#This Row],[1]:[12]])</f>
        <v>20</v>
      </c>
      <c r="T285" s="41">
        <f t="shared" si="14"/>
        <v>1</v>
      </c>
      <c r="U285" s="9" t="s">
        <v>80</v>
      </c>
      <c r="V285" s="43" t="str">
        <f>IF(Table15[[#This Row],[Observed? Y or N]]="N", "-20", "0")</f>
        <v>-20</v>
      </c>
      <c r="W285" s="43">
        <f>Table15[[#This Row],[Total]]+Table15[[#This Row],[Penalty Applied]]</f>
        <v>0</v>
      </c>
      <c r="X285" s="65"/>
    </row>
    <row r="286" spans="5:24" x14ac:dyDescent="0.3">
      <c r="E286" s="58" t="s">
        <v>274</v>
      </c>
      <c r="F286" s="39" t="s">
        <v>124</v>
      </c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39">
        <v>15</v>
      </c>
      <c r="S286" s="41">
        <f>SUM(Table15[[#This Row],[1]:[12]])</f>
        <v>15</v>
      </c>
      <c r="T286" s="41">
        <f t="shared" si="14"/>
        <v>1</v>
      </c>
      <c r="U286" s="9" t="s">
        <v>80</v>
      </c>
      <c r="V286" s="43" t="str">
        <f>IF(Table15[[#This Row],[Observed? Y or N]]="N", "-20", "0")</f>
        <v>-20</v>
      </c>
      <c r="W286" s="43">
        <f>Table15[[#This Row],[Total]]+Table15[[#This Row],[Penalty Applied]]</f>
        <v>-5</v>
      </c>
      <c r="X286" s="65"/>
    </row>
    <row r="287" spans="5:24" x14ac:dyDescent="0.3">
      <c r="E287" s="58" t="s">
        <v>218</v>
      </c>
      <c r="F287" s="39"/>
      <c r="G287" s="68"/>
      <c r="H287" s="68"/>
      <c r="I287" s="81"/>
      <c r="J287" s="81"/>
      <c r="K287" s="81"/>
      <c r="L287" s="81"/>
      <c r="M287" s="81">
        <v>13</v>
      </c>
      <c r="N287" s="81"/>
      <c r="O287" s="53"/>
      <c r="P287" s="68"/>
      <c r="Q287" s="68"/>
      <c r="R287" s="39"/>
      <c r="S287" s="41">
        <f>SUM(Table15[[#This Row],[1]:[12]])</f>
        <v>13</v>
      </c>
      <c r="T287" s="41">
        <f t="shared" si="14"/>
        <v>1</v>
      </c>
      <c r="U287" s="9" t="s">
        <v>80</v>
      </c>
      <c r="V287" s="43" t="str">
        <f>IF(Table15[[#This Row],[Observed? Y or N]]="N", "-20", "0")</f>
        <v>-20</v>
      </c>
      <c r="W287" s="43">
        <f>Table15[[#This Row],[Total]]+Table15[[#This Row],[Penalty Applied]]</f>
        <v>-7</v>
      </c>
      <c r="X287" s="65"/>
    </row>
    <row r="288" spans="5:24" x14ac:dyDescent="0.3">
      <c r="E288" s="58" t="s">
        <v>261</v>
      </c>
      <c r="F288" s="39" t="s">
        <v>123</v>
      </c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>
        <v>11</v>
      </c>
      <c r="R288" s="39"/>
      <c r="S288" s="41">
        <f>SUM(Table15[[#This Row],[1]:[12]])</f>
        <v>11</v>
      </c>
      <c r="T288" s="41">
        <f t="shared" si="14"/>
        <v>1</v>
      </c>
      <c r="U288" s="9" t="s">
        <v>80</v>
      </c>
      <c r="V288" s="43" t="str">
        <f>IF(Table15[[#This Row],[Observed? Y or N]]="N", "-20", "0")</f>
        <v>-20</v>
      </c>
      <c r="W288" s="43">
        <f>Table15[[#This Row],[Total]]+Table15[[#This Row],[Penalty Applied]]</f>
        <v>-9</v>
      </c>
      <c r="X288" s="65"/>
    </row>
    <row r="289" spans="5:24" x14ac:dyDescent="0.3">
      <c r="E289" s="58" t="s">
        <v>120</v>
      </c>
      <c r="F289" s="39" t="s">
        <v>121</v>
      </c>
      <c r="G289" s="68"/>
      <c r="H289" s="68">
        <v>10</v>
      </c>
      <c r="I289" s="81"/>
      <c r="J289" s="81"/>
      <c r="K289" s="81"/>
      <c r="L289" s="81"/>
      <c r="M289" s="81"/>
      <c r="N289" s="81"/>
      <c r="O289" s="53"/>
      <c r="P289" s="68"/>
      <c r="Q289" s="68"/>
      <c r="R289" s="39"/>
      <c r="S289" s="41">
        <f>SUM(Table15[[#This Row],[1]:[12]])</f>
        <v>10</v>
      </c>
      <c r="T289" s="41">
        <f t="shared" si="14"/>
        <v>1</v>
      </c>
      <c r="U289" s="9" t="s">
        <v>80</v>
      </c>
      <c r="V289" s="43" t="str">
        <f>IF(Table15[[#This Row],[Observed? Y or N]]="N", "-20", "0")</f>
        <v>-20</v>
      </c>
      <c r="W289" s="43">
        <f>Table15[[#This Row],[Total]]+Table15[[#This Row],[Penalty Applied]]</f>
        <v>-10</v>
      </c>
      <c r="X289" s="65"/>
    </row>
    <row r="290" spans="5:24" x14ac:dyDescent="0.3">
      <c r="E290" s="58" t="s">
        <v>184</v>
      </c>
      <c r="F290" s="39" t="s">
        <v>42</v>
      </c>
      <c r="G290" s="68"/>
      <c r="H290" s="68"/>
      <c r="I290" s="81"/>
      <c r="J290" s="81">
        <v>10</v>
      </c>
      <c r="K290" s="81"/>
      <c r="L290" s="81"/>
      <c r="M290" s="81"/>
      <c r="N290" s="81"/>
      <c r="O290" s="53"/>
      <c r="P290" s="68"/>
      <c r="Q290" s="68"/>
      <c r="R290" s="39"/>
      <c r="S290" s="41">
        <f>SUM(Table15[[#This Row],[1]:[12]])</f>
        <v>10</v>
      </c>
      <c r="T290" s="41">
        <f t="shared" si="14"/>
        <v>1</v>
      </c>
      <c r="U290" s="9" t="s">
        <v>80</v>
      </c>
      <c r="V290" s="43" t="str">
        <f>IF(Table15[[#This Row],[Observed? Y or N]]="N", "-20", "0")</f>
        <v>-20</v>
      </c>
      <c r="W290" s="43">
        <f>Table15[[#This Row],[Total]]+Table15[[#This Row],[Penalty Applied]]</f>
        <v>-10</v>
      </c>
      <c r="X290" s="65"/>
    </row>
    <row r="291" spans="5:24" x14ac:dyDescent="0.3">
      <c r="E291" s="58" t="s">
        <v>262</v>
      </c>
      <c r="F291" s="39" t="s">
        <v>28</v>
      </c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>
        <v>10</v>
      </c>
      <c r="R291" s="39"/>
      <c r="S291" s="41">
        <f>SUM(Table15[[#This Row],[1]:[12]])</f>
        <v>10</v>
      </c>
      <c r="T291" s="41">
        <f t="shared" si="14"/>
        <v>1</v>
      </c>
      <c r="U291" s="9" t="s">
        <v>80</v>
      </c>
      <c r="V291" s="43" t="str">
        <f>IF(Table15[[#This Row],[Observed? Y or N]]="N", "-20", "0")</f>
        <v>-20</v>
      </c>
      <c r="W291" s="43">
        <f>Table15[[#This Row],[Total]]+Table15[[#This Row],[Penalty Applied]]</f>
        <v>-10</v>
      </c>
      <c r="X291" s="65"/>
    </row>
    <row r="292" spans="5:24" x14ac:dyDescent="0.3">
      <c r="E292" s="58" t="s">
        <v>60</v>
      </c>
      <c r="F292" s="39" t="s">
        <v>216</v>
      </c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>
        <v>9</v>
      </c>
      <c r="R292" s="39"/>
      <c r="S292" s="41">
        <f>SUM(Table15[[#This Row],[1]:[12]])</f>
        <v>9</v>
      </c>
      <c r="T292" s="41">
        <f t="shared" si="14"/>
        <v>1</v>
      </c>
      <c r="U292" s="9" t="s">
        <v>80</v>
      </c>
      <c r="V292" s="43" t="str">
        <f>IF(Table15[[#This Row],[Observed? Y or N]]="N", "-20", "0")</f>
        <v>-20</v>
      </c>
      <c r="W292" s="43">
        <f>Table15[[#This Row],[Total]]+Table15[[#This Row],[Penalty Applied]]</f>
        <v>-11</v>
      </c>
      <c r="X292" s="65"/>
    </row>
    <row r="293" spans="5:24" x14ac:dyDescent="0.3">
      <c r="E293" s="58" t="s">
        <v>263</v>
      </c>
      <c r="F293" s="39" t="s">
        <v>31</v>
      </c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>
        <v>8</v>
      </c>
      <c r="R293" s="39"/>
      <c r="S293" s="41">
        <f>SUM(G293:R293)</f>
        <v>8</v>
      </c>
      <c r="T293" s="41">
        <f t="shared" si="14"/>
        <v>1</v>
      </c>
      <c r="U293" s="9" t="s">
        <v>80</v>
      </c>
      <c r="V293" s="43" t="str">
        <f>IF(Table15[[#This Row],[Observed? Y or N]]="N", "-20", "0")</f>
        <v>-20</v>
      </c>
      <c r="W293" s="43">
        <f>Table15[[#This Row],[Total]]+Table15[[#This Row],[Penalty Applied]]</f>
        <v>-12</v>
      </c>
      <c r="X293" s="65"/>
    </row>
    <row r="294" spans="5:24" x14ac:dyDescent="0.3">
      <c r="E294" s="58"/>
      <c r="F294" s="39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39"/>
      <c r="S294" s="41">
        <f>SUM(Table15[[#This Row],[1]:[12]])</f>
        <v>0</v>
      </c>
      <c r="T294" s="41">
        <f t="shared" si="14"/>
        <v>0</v>
      </c>
      <c r="U294" s="9" t="s">
        <v>80</v>
      </c>
      <c r="V294" s="43" t="str">
        <f>IF(Table15[[#This Row],[Observed? Y or N]]="N", "-20", "0")</f>
        <v>-20</v>
      </c>
      <c r="W294" s="43">
        <f>Table15[[#This Row],[Total]]+Table15[[#This Row],[Penalty Applied]]</f>
        <v>-20</v>
      </c>
      <c r="X294" s="65"/>
    </row>
    <row r="295" spans="5:24" x14ac:dyDescent="0.3">
      <c r="E295" s="58"/>
      <c r="F295" s="39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39"/>
      <c r="S295" s="41">
        <f>SUM(Table15[[#This Row],[1]:[12]])</f>
        <v>0</v>
      </c>
      <c r="T295" s="41">
        <f t="shared" si="14"/>
        <v>0</v>
      </c>
      <c r="U295" s="9" t="s">
        <v>80</v>
      </c>
      <c r="V295" s="43" t="str">
        <f>IF(Table15[[#This Row],[Observed? Y or N]]="N", "-20", "0")</f>
        <v>-20</v>
      </c>
      <c r="W295" s="43">
        <f>Table15[[#This Row],[Total]]+Table15[[#This Row],[Penalty Applied]]</f>
        <v>-20</v>
      </c>
      <c r="X295" s="65"/>
    </row>
    <row r="296" spans="5:24" ht="15" thickBot="1" x14ac:dyDescent="0.35">
      <c r="E296" s="110"/>
      <c r="F296" s="11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11"/>
      <c r="S296" s="4">
        <f>SUM(Table15[[#This Row],[1]:[12]])</f>
        <v>0</v>
      </c>
      <c r="T296" s="4">
        <f t="shared" si="14"/>
        <v>0</v>
      </c>
      <c r="U296" s="9" t="s">
        <v>80</v>
      </c>
      <c r="V296" s="43" t="str">
        <f>IF(Table15[[#This Row],[Observed? Y or N]]="N", "-20", "0")</f>
        <v>-20</v>
      </c>
      <c r="W296" s="43">
        <f>Table15[[#This Row],[Total]]+Table15[[#This Row],[Penalty Applied]]</f>
        <v>-20</v>
      </c>
      <c r="X296" s="86"/>
    </row>
    <row r="298" spans="5:24" ht="15" thickBot="1" x14ac:dyDescent="0.35"/>
    <row r="299" spans="5:24" ht="153" thickBot="1" x14ac:dyDescent="0.35">
      <c r="E299" s="36" t="s">
        <v>49</v>
      </c>
      <c r="F299" s="36" t="s">
        <v>137</v>
      </c>
      <c r="G299" s="35" t="s">
        <v>88</v>
      </c>
      <c r="H299" s="35" t="s">
        <v>89</v>
      </c>
      <c r="I299" s="35" t="s">
        <v>90</v>
      </c>
      <c r="J299" s="35" t="s">
        <v>91</v>
      </c>
      <c r="K299" s="35" t="s">
        <v>92</v>
      </c>
      <c r="L299" s="35" t="s">
        <v>93</v>
      </c>
      <c r="M299" s="35" t="s">
        <v>94</v>
      </c>
      <c r="N299" s="35" t="s">
        <v>95</v>
      </c>
      <c r="O299" s="35" t="s">
        <v>96</v>
      </c>
      <c r="P299" s="35" t="s">
        <v>97</v>
      </c>
      <c r="Q299" s="35" t="s">
        <v>98</v>
      </c>
      <c r="R299" s="35" t="s">
        <v>99</v>
      </c>
      <c r="S299" s="7" t="s">
        <v>32</v>
      </c>
      <c r="T299" s="7" t="s">
        <v>43</v>
      </c>
      <c r="U299" s="82" t="s">
        <v>78</v>
      </c>
      <c r="V299" s="7" t="s">
        <v>81</v>
      </c>
      <c r="W299" s="32" t="s">
        <v>79</v>
      </c>
      <c r="X299" s="32" t="s">
        <v>15</v>
      </c>
    </row>
    <row r="300" spans="5:24" x14ac:dyDescent="0.3">
      <c r="E300" s="42" t="s">
        <v>260</v>
      </c>
      <c r="F300" s="42" t="s">
        <v>27</v>
      </c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>
        <v>20</v>
      </c>
      <c r="R300" s="39"/>
      <c r="S300" s="41">
        <f>SUM(Table16[[#This Row],[1]:[12]])</f>
        <v>20</v>
      </c>
      <c r="T300" s="42">
        <f>COUNTIF(G300:R300,"&gt;1")</f>
        <v>1</v>
      </c>
      <c r="U300" s="44" t="s">
        <v>80</v>
      </c>
      <c r="V300" s="44" t="str">
        <f>IF(Table16[[#This Row],[Observed? Y or N]]="N", "-20", "0")</f>
        <v>-20</v>
      </c>
      <c r="W300" s="38">
        <f>Table16[[#This Row],[Total]]+Table16[[#This Row],[Penalty Applied]]</f>
        <v>0</v>
      </c>
      <c r="X300" s="72"/>
    </row>
    <row r="301" spans="5:24" x14ac:dyDescent="0.3">
      <c r="E301" s="41"/>
      <c r="F301" s="41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39"/>
      <c r="S301" s="41">
        <f>SUM(Table16[[#This Row],[1]:[12]])</f>
        <v>0</v>
      </c>
      <c r="T301" s="41">
        <f>COUNTIF(G301:R301,"&gt;1")</f>
        <v>0</v>
      </c>
      <c r="U301" s="43" t="s">
        <v>80</v>
      </c>
      <c r="V301" s="43" t="str">
        <f>IF(Table16[[#This Row],[Observed? Y or N]]="N", "-20", "0")</f>
        <v>-20</v>
      </c>
      <c r="W301" s="38">
        <f>Table16[[#This Row],[Total]]+Table16[[#This Row],[Penalty Applied]]</f>
        <v>-20</v>
      </c>
      <c r="X301" s="65"/>
    </row>
    <row r="302" spans="5:24" ht="15" thickBot="1" x14ac:dyDescent="0.35">
      <c r="E302" s="46"/>
      <c r="F302" s="46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39"/>
      <c r="S302" s="41">
        <f>SUM(Table16[[#This Row],[1]:[12]])</f>
        <v>0</v>
      </c>
      <c r="T302" s="41">
        <f>COUNTIF(G302:R302,"&gt;1")</f>
        <v>0</v>
      </c>
      <c r="U302" s="43" t="s">
        <v>80</v>
      </c>
      <c r="V302" s="43" t="str">
        <f>IF(Table16[[#This Row],[Observed? Y or N]]="N", "-20", "0")</f>
        <v>-20</v>
      </c>
      <c r="W302" s="38">
        <f>Table16[[#This Row],[Total]]+Table16[[#This Row],[Penalty Applied]]</f>
        <v>-20</v>
      </c>
      <c r="X302" s="86"/>
    </row>
  </sheetData>
  <sortState xmlns:xlrd2="http://schemas.microsoft.com/office/spreadsheetml/2017/richdata2" ref="F238:S240">
    <sortCondition descending="1" ref="S238"/>
  </sortState>
  <mergeCells count="3">
    <mergeCell ref="A9:B9"/>
    <mergeCell ref="E2:U5"/>
    <mergeCell ref="R6:U6"/>
  </mergeCells>
  <phoneticPr fontId="5" type="noConversion"/>
  <pageMargins left="0.7" right="0.7" top="0.75" bottom="0.75" header="0.3" footer="0.3"/>
  <pageSetup paperSize="8" scale="78" fitToHeight="0" orientation="portrait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B987EAE4-9BBB-4F54-A200-6CD36D7C7DD3}">
            <xm:f>NOT(ISERROR(SEARCH("N",T11)))</xm:f>
            <xm:f>"N"</xm:f>
            <x14:dxf>
              <fill>
                <patternFill>
                  <bgColor rgb="FFFF0000"/>
                </patternFill>
              </fill>
            </x14:dxf>
          </x14:cfRule>
          <x14:cfRule type="containsText" priority="3" operator="containsText" id="{9CDF0788-6927-4118-8EDD-D57A1AF9B706}">
            <xm:f>NOT(ISERROR(SEARCH("Y",T11)))</xm:f>
            <xm:f>"Y"</xm:f>
            <x14:dxf>
              <fill>
                <patternFill>
                  <bgColor theme="9" tint="0.59996337778862885"/>
                </patternFill>
              </fill>
            </x14:dxf>
          </x14:cfRule>
          <xm:sqref>T223:T224 T254 U300:U302 T275:T276 T28 T45:T46 U30:U44 T76:T77 T100:T101 U79:U99 T124:T125 U103:U123 T158:T159 T188:T189 U161:U187 T208:T210 U191:U207 T217 T230:T231 T235:T236 U232:U234 T297:T298 U278:U296 U11:U26 U127:U157 U48:U75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462EA-73DF-4D9C-83CD-96A93966DA60}">
  <dimension ref="A1:Q25"/>
  <sheetViews>
    <sheetView workbookViewId="0">
      <selection activeCell="N21" sqref="N21"/>
    </sheetView>
  </sheetViews>
  <sheetFormatPr defaultRowHeight="14.4" x14ac:dyDescent="0.3"/>
  <sheetData>
    <row r="1" spans="1:17" x14ac:dyDescent="0.3">
      <c r="A1" s="1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7"/>
      <c r="N1" s="27"/>
      <c r="O1" s="16"/>
      <c r="P1" s="17"/>
      <c r="Q1" s="16"/>
    </row>
    <row r="2" spans="1:17" x14ac:dyDescent="0.3">
      <c r="A2" s="20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  <c r="N2" s="24"/>
      <c r="O2" s="20"/>
      <c r="P2" s="19"/>
      <c r="Q2" s="20"/>
    </row>
    <row r="3" spans="1:17" x14ac:dyDescent="0.3">
      <c r="A3" s="21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  <c r="N3" s="25"/>
      <c r="O3" s="21"/>
      <c r="P3" s="15"/>
      <c r="Q3" s="21"/>
    </row>
    <row r="4" spans="1:17" x14ac:dyDescent="0.3">
      <c r="A4" s="2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  <c r="N4" s="24"/>
      <c r="O4" s="20"/>
      <c r="P4" s="19"/>
      <c r="Q4" s="20"/>
    </row>
    <row r="5" spans="1:17" x14ac:dyDescent="0.3">
      <c r="A5" s="2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  <c r="N5" s="24"/>
      <c r="O5" s="21"/>
      <c r="P5" s="15"/>
      <c r="Q5" s="21"/>
    </row>
    <row r="6" spans="1:17" x14ac:dyDescent="0.3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24"/>
      <c r="O6" s="20"/>
      <c r="P6" s="19"/>
      <c r="Q6" s="20"/>
    </row>
    <row r="7" spans="1:17" x14ac:dyDescent="0.3">
      <c r="A7" s="20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24"/>
      <c r="O7" s="21"/>
      <c r="P7" s="15"/>
      <c r="Q7" s="21"/>
    </row>
    <row r="8" spans="1:17" x14ac:dyDescent="0.3">
      <c r="A8" s="2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  <c r="N8" s="25"/>
      <c r="O8" s="20"/>
      <c r="P8" s="19"/>
      <c r="Q8" s="20"/>
    </row>
    <row r="9" spans="1:17" x14ac:dyDescent="0.3">
      <c r="A9" s="21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5"/>
      <c r="N9" s="25"/>
      <c r="O9" s="21"/>
      <c r="P9" s="15"/>
      <c r="Q9" s="21"/>
    </row>
    <row r="10" spans="1:17" x14ac:dyDescent="0.3">
      <c r="A10" s="20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24"/>
      <c r="O10" s="20"/>
      <c r="P10" s="19"/>
      <c r="Q10" s="20"/>
    </row>
    <row r="11" spans="1:17" x14ac:dyDescent="0.3">
      <c r="A11" s="21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25"/>
      <c r="O11" s="21"/>
      <c r="P11" s="15"/>
      <c r="Q11" s="21"/>
    </row>
    <row r="12" spans="1:17" x14ac:dyDescent="0.3">
      <c r="A12" s="20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24"/>
      <c r="O12" s="20"/>
      <c r="P12" s="19"/>
      <c r="Q12" s="20"/>
    </row>
    <row r="13" spans="1:17" x14ac:dyDescent="0.3">
      <c r="A13" s="21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25"/>
      <c r="O13" s="21"/>
      <c r="P13" s="15"/>
      <c r="Q13" s="21"/>
    </row>
    <row r="14" spans="1:17" x14ac:dyDescent="0.3">
      <c r="A14" s="21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25"/>
      <c r="O14" s="20"/>
      <c r="P14" s="19"/>
      <c r="Q14" s="20"/>
    </row>
    <row r="15" spans="1:17" x14ac:dyDescent="0.3">
      <c r="A15" s="21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25"/>
      <c r="O15" s="21"/>
      <c r="P15" s="15"/>
      <c r="Q15" s="21"/>
    </row>
    <row r="16" spans="1:17" x14ac:dyDescent="0.3">
      <c r="A16" s="20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24"/>
      <c r="O16" s="20"/>
      <c r="P16" s="19"/>
      <c r="Q16" s="20"/>
    </row>
    <row r="17" spans="1:17" x14ac:dyDescent="0.3">
      <c r="A17" s="21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25"/>
      <c r="O17" s="21"/>
      <c r="P17" s="15"/>
      <c r="Q17" s="21"/>
    </row>
    <row r="18" spans="1:17" x14ac:dyDescent="0.3">
      <c r="A18" s="21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25"/>
      <c r="O18" s="20"/>
      <c r="P18" s="19"/>
      <c r="Q18" s="20"/>
    </row>
    <row r="19" spans="1:17" ht="15" thickBot="1" x14ac:dyDescent="0.35">
      <c r="A19" s="2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3"/>
      <c r="N19" s="29"/>
      <c r="O19" s="22"/>
      <c r="P19" s="23"/>
      <c r="Q19" s="22"/>
    </row>
    <row r="25" spans="1:17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</sheetData>
  <sortState xmlns:xlrd2="http://schemas.microsoft.com/office/spreadsheetml/2017/richdata2" ref="A1:N19">
    <sortCondition descending="1" ref="N1"/>
  </sortState>
  <pageMargins left="0.7" right="0.7" top="0.75" bottom="0.75" header="0.3" footer="0.3"/>
  <pageSetup paperSize="25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Seamer</dc:creator>
  <cp:lastModifiedBy>Seamer, Liam</cp:lastModifiedBy>
  <cp:lastPrinted>2022-10-11T09:59:25Z</cp:lastPrinted>
  <dcterms:created xsi:type="dcterms:W3CDTF">2018-08-30T18:12:19Z</dcterms:created>
  <dcterms:modified xsi:type="dcterms:W3CDTF">2024-12-21T15:51:11Z</dcterms:modified>
</cp:coreProperties>
</file>